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055" activeTab="0"/>
  </bookViews>
  <sheets>
    <sheet name="Sanierung" sheetId="1" r:id="rId1"/>
    <sheet name="Kriterienkatalog" sheetId="2" state="hidden" r:id="rId2"/>
    <sheet name="A. 1.1. " sheetId="3" r:id="rId3"/>
    <sheet name="A.1.3." sheetId="4" r:id="rId4"/>
    <sheet name="A.1.5" sheetId="5" r:id="rId5"/>
    <sheet name="A.1.5-1" sheetId="6" state="hidden" r:id="rId6"/>
    <sheet name="A-1.5-2" sheetId="7" state="hidden" r:id="rId7"/>
    <sheet name="A.1.6" sheetId="8" r:id="rId8"/>
    <sheet name="B1 " sheetId="9" r:id="rId9"/>
    <sheet name="B1b " sheetId="10" r:id="rId10"/>
    <sheet name="B1.4 " sheetId="11" r:id="rId11"/>
    <sheet name="B1.6b" sheetId="12" r:id="rId12"/>
    <sheet name="C.1.1" sheetId="13" r:id="rId13"/>
    <sheet name="C.2.1" sheetId="14" r:id="rId14"/>
    <sheet name="D.1.1" sheetId="15" r:id="rId15"/>
    <sheet name="D1.2" sheetId="16" r:id="rId16"/>
  </sheets>
  <externalReferences>
    <externalReference r:id="rId19"/>
    <externalReference r:id="rId20"/>
  </externalReferences>
  <definedNames>
    <definedName name="_ftn1" localSheetId="3">'A.1.3.'!$A$27</definedName>
    <definedName name="_ftn2" localSheetId="12">'C.1.1'!$A$16</definedName>
    <definedName name="_ftn3" localSheetId="12">'C.1.1'!$A$17</definedName>
    <definedName name="_ftn4" localSheetId="12">'C.1.1'!$A$18</definedName>
    <definedName name="_ftnref1" localSheetId="3">'A.1.3.'!$A$5</definedName>
    <definedName name="_ftnref2" localSheetId="12">'C.1.1'!$A$6</definedName>
    <definedName name="_ftnref3" localSheetId="12">'C.1.1'!$A$10</definedName>
    <definedName name="_ftnref4" localSheetId="12">'C.1.1'!$A$11</definedName>
    <definedName name="_Toc279322313" localSheetId="8">'B1 '!$A$5</definedName>
    <definedName name="_Toc279322313" localSheetId="9">'B1b '!$A$5</definedName>
    <definedName name="_Toc279405076" localSheetId="8">'B1 '!$A$5</definedName>
    <definedName name="_Toc279405076" localSheetId="9">'B1b '!$A$5</definedName>
    <definedName name="_xlnm.Print_Area" localSheetId="1">'Kriterienkatalog'!$B$1:$I$84</definedName>
    <definedName name="_xlnm.Print_Area" localSheetId="0">'Sanierung'!$B$1:$H$41</definedName>
    <definedName name="_xlnm.Print_Titles" localSheetId="1">'Kriterienkatalog'!$1:$5</definedName>
    <definedName name="_xlnm.Print_Titles" localSheetId="0">'Sanierung'!$1:$6</definedName>
    <definedName name="Gebaeudetyp">'A.1.5-1'!$A$4:$A$8</definedName>
    <definedName name="Gebäudetyp">'A.1.5-1'!$A$4:$A$8</definedName>
    <definedName name="Heizgradtage">#REF!</definedName>
    <definedName name="HGT">#REF!</definedName>
    <definedName name="Kommunen">'A-1.5-2'!$A$4:$A$113</definedName>
    <definedName name="Max">'A.1.5'!$E$29</definedName>
    <definedName name="Min">'A.1.5'!$E$28</definedName>
    <definedName name="Planstand">'A.1.5'!$B$17</definedName>
    <definedName name="Punktemax">'A.1.5'!$D$29</definedName>
    <definedName name="Punktemin">'A.1.5'!$D$28</definedName>
    <definedName name="Z_900BB99C_5F12_4578_9AB6_A71D1D7EE1B7_.wvu.Cols" localSheetId="1" hidden="1">'Kriterienkatalog'!$O:$P,'Kriterienkatalog'!$R:$S,'Kriterienkatalog'!$U:$V,'Kriterienkatalog'!$X:$Y,'Kriterienkatalog'!$AA:$AB,'Kriterienkatalog'!$AD:$AE</definedName>
    <definedName name="Z_900BB99C_5F12_4578_9AB6_A71D1D7EE1B7_.wvu.PrintArea" localSheetId="1" hidden="1">'Kriterienkatalog'!$B$1:$I$84</definedName>
    <definedName name="Z_900BB99C_5F12_4578_9AB6_A71D1D7EE1B7_.wvu.PrintArea" localSheetId="0" hidden="1">'Sanierung'!$B$1:$H$41</definedName>
    <definedName name="Z_900BB99C_5F12_4578_9AB6_A71D1D7EE1B7_.wvu.PrintTitles" localSheetId="1" hidden="1">'Kriterienkatalog'!$1:$5</definedName>
    <definedName name="Z_900BB99C_5F12_4578_9AB6_A71D1D7EE1B7_.wvu.PrintTitles" localSheetId="0" hidden="1">'Sanierung'!$1:$6</definedName>
    <definedName name="Z_900BB99C_5F12_4578_9AB6_A71D1D7EE1B7_.wvu.Rows" localSheetId="1" hidden="1">'Kriterienkatalog'!$3:$3,'Kriterienkatalog'!$7:$16,'Kriterienkatalog'!$19:$45,'Kriterienkatalog'!$48:$60,'Kriterienkatalog'!$63:$83</definedName>
    <definedName name="Z_900BB99C_5F12_4578_9AB6_A71D1D7EE1B7_.wvu.Rows" localSheetId="0" hidden="1">'Sanierung'!$4:$4</definedName>
  </definedNames>
  <calcPr fullCalcOnLoad="1"/>
</workbook>
</file>

<file path=xl/comments11.xml><?xml version="1.0" encoding="utf-8"?>
<comments xmlns="http://schemas.openxmlformats.org/spreadsheetml/2006/main">
  <authors>
    <author>karl.torghele</author>
  </authors>
  <commentList>
    <comment ref="B5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Aperturfläche des Kollektors</t>
        </r>
      </text>
    </comment>
    <comment ref="B6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Eingabe des berechneten Jahresertrag mit geeignetem Berechnungsprogramm</t>
        </r>
      </text>
    </comment>
  </commentList>
</comments>
</file>

<file path=xl/comments16.xml><?xml version="1.0" encoding="utf-8"?>
<comments xmlns="http://schemas.openxmlformats.org/spreadsheetml/2006/main">
  <authors>
    <author>ps</author>
  </authors>
  <commentList>
    <comment ref="B12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Alternativ zur Eingabe der drei Ökokennzahlen PEI, CO2 und SO2 kann hier der berechnete OI3BG3,BZF Kennwerte eingegeben werden.</t>
        </r>
      </text>
    </comment>
    <comment ref="B10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Alternativ zum OI3BG3,BZF können hier die einzelnen berechneten Kennwerte eingegeben werden.</t>
        </r>
      </text>
    </comment>
    <comment ref="B9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Alternativ zum OI3BG3,BZF können hier die einzelnen berechneten Kennwerte eingegeben werden.</t>
        </r>
      </text>
    </comment>
    <comment ref="B8" authorId="0">
      <text>
        <r>
          <rPr>
            <b/>
            <sz val="8"/>
            <rFont val="Tahoma"/>
            <family val="2"/>
          </rPr>
          <t>karl.torghele:</t>
        </r>
        <r>
          <rPr>
            <sz val="8"/>
            <rFont val="Tahoma"/>
            <family val="2"/>
          </rPr>
          <t xml:space="preserve">
Alternativ zum OI3BG3,BZF können hier die einzelnen berechneten Kennwerte eingegeben werden.</t>
        </r>
      </text>
    </comment>
  </commentList>
</comments>
</file>

<file path=xl/comments2.xml><?xml version="1.0" encoding="utf-8"?>
<comments xmlns="http://schemas.openxmlformats.org/spreadsheetml/2006/main">
  <authors>
    <author>Martin Brunn</author>
  </authors>
  <commentList>
    <comment ref="J4" authorId="0">
      <text>
        <r>
          <rPr>
            <b/>
            <sz val="8"/>
            <rFont val="Tahoma"/>
            <family val="2"/>
          </rPr>
          <t>Martin Brunn:</t>
        </r>
        <r>
          <rPr>
            <sz val="8"/>
            <rFont val="Tahoma"/>
            <family val="2"/>
          </rPr>
          <t xml:space="preserve">
1 ... niedrig
2 ... mittel
3 ... hoch</t>
        </r>
      </text>
    </comment>
  </commentList>
</comments>
</file>

<file path=xl/sharedStrings.xml><?xml version="1.0" encoding="utf-8"?>
<sst xmlns="http://schemas.openxmlformats.org/spreadsheetml/2006/main" count="1159" uniqueCount="498">
  <si>
    <t>Gesundheit und Komfort</t>
  </si>
  <si>
    <t xml:space="preserve">Thermischer Komfort </t>
  </si>
  <si>
    <t>Raumluftqualität</t>
  </si>
  <si>
    <t>Schallschutz</t>
  </si>
  <si>
    <t>Licht</t>
  </si>
  <si>
    <t>Baustoffe</t>
  </si>
  <si>
    <t>P</t>
  </si>
  <si>
    <t>Ausführung</t>
  </si>
  <si>
    <t>Baustellenaufsicht durch unabhängiges und kompetentes Organ</t>
  </si>
  <si>
    <t>M</t>
  </si>
  <si>
    <t>Keine Öl- und Gaskessel ohne Brennwerttechnik, kein Kohlekessel</t>
  </si>
  <si>
    <t xml:space="preserve">Ölbrennwert- oder Gasbrennwertkessel als Zentralheizung </t>
  </si>
  <si>
    <t>Heizungsanlage für biogene Brennstoffe, Holzvergaserkessel, Nah- oder Fernwärme mit Biomasse</t>
  </si>
  <si>
    <t>Thermischer Komfort im Sommer</t>
  </si>
  <si>
    <t>oder</t>
  </si>
  <si>
    <t>Erhöhter Luftschallschutz von Wohnungstrennwände gemäß ÖNORM B8115</t>
  </si>
  <si>
    <t>Erhöhter Trittschallschutz von Wohnungstrenndecken gemäß ÖNORM B8115</t>
  </si>
  <si>
    <t>Schallschutzqualität der Haustechnik (Abluft oder Wohnraumlüftung)</t>
  </si>
  <si>
    <t>HFKW-freie Dämmstoffe inkl. Montageschaum</t>
  </si>
  <si>
    <t xml:space="preserve">Konstruktionen und Gebäude </t>
  </si>
  <si>
    <t>Nr.</t>
  </si>
  <si>
    <t>Titel</t>
  </si>
  <si>
    <t>Punkte</t>
  </si>
  <si>
    <t>E</t>
  </si>
  <si>
    <t>Keine Stromwiderstandsheizung</t>
  </si>
  <si>
    <t>Warmwasseranschluss für Spülen und Waschen</t>
  </si>
  <si>
    <t>Regenwassernutzung oder Hausbrunnen für Gartenbewässerung</t>
  </si>
  <si>
    <t>Regenwassernutzung oder Hausbrunnen für WC und/oder Waschmaschine</t>
  </si>
  <si>
    <t xml:space="preserve">Wasserspararmaturen für Handwaschbecken max. 6l/min </t>
  </si>
  <si>
    <t>Wassersparende Duschköpfe max 9l/min</t>
  </si>
  <si>
    <t>Energie und Versorgung</t>
  </si>
  <si>
    <t>G</t>
  </si>
  <si>
    <t>B</t>
  </si>
  <si>
    <t>PVC-freie Abwasserrohre und Wanddurchführungen im Erdreich</t>
  </si>
  <si>
    <t>PVC-freie Kellerfenster, Türen, Lichtschächte inkl. Dichtungen</t>
  </si>
  <si>
    <t>Holz aus Primärwald nur zertifiziert zulässig (Tropen, Nord- u. Südamerika, Asien, Afrika)</t>
  </si>
  <si>
    <t xml:space="preserve">Tageslichtfaktor &gt;= 2 in den Hauptwohnräumen </t>
  </si>
  <si>
    <t xml:space="preserve">Direkte Besonnung am 21.12. größer 1,5 Stunden </t>
  </si>
  <si>
    <t xml:space="preserve">Baustoffe und Konstruktion </t>
  </si>
  <si>
    <t>Wärmedämmung des Warmwasserspeichers 10cm</t>
  </si>
  <si>
    <t>EIV</t>
  </si>
  <si>
    <t>IBO</t>
  </si>
  <si>
    <t>grobe Einschätzung der Wichtigkeit</t>
  </si>
  <si>
    <t>4a</t>
  </si>
  <si>
    <t>4b</t>
  </si>
  <si>
    <t>4c</t>
  </si>
  <si>
    <t>4d</t>
  </si>
  <si>
    <t>Gesamt</t>
  </si>
  <si>
    <t>Kriterien</t>
  </si>
  <si>
    <t>Kriterium in Verwendung</t>
  </si>
  <si>
    <t>Reinigung und Wartungsbuch erstellt</t>
  </si>
  <si>
    <t>Sicherheit des Standorts</t>
  </si>
  <si>
    <t>Komfortlüftung mit Wärmerückgewinnung optimiert ausgeführt</t>
  </si>
  <si>
    <t>Sum.</t>
  </si>
  <si>
    <t>erreicht</t>
  </si>
  <si>
    <t>1.</t>
  </si>
  <si>
    <t>Energieffiziente Haushaltsgeräte (Unterlagen oder Standardausstattung)</t>
  </si>
  <si>
    <t>Messung der flüchtige Kohlenwasserstoffe und Formaldehyd TVOC (Siedepunkt bis 200 °C)  &lt; 0,6 mg/m³  Formaldehyd kleiner als 0,04 ppm</t>
  </si>
  <si>
    <t>Wand-, Deckenanstriche (Emissionsgrenzwerte natureplus, Österr. UZ, dt. Blauer Engel)</t>
  </si>
  <si>
    <t>Optimierte Anschlussdetails (laut Bauteilkatalog öbox, PH-BTK, dataholz)</t>
  </si>
  <si>
    <t xml:space="preserve">Qualität der Infrastruktur (Nähe zu Schule, Kindergarten, ÖPNV,...) </t>
  </si>
  <si>
    <t xml:space="preserve">Planung </t>
  </si>
  <si>
    <t>Planung und Ausführung</t>
  </si>
  <si>
    <t>2.</t>
  </si>
  <si>
    <t>Holzwerkstoffe (Für innenraumluft-wirksame Emissionsflächen gelten Grenzwerte nach natureplus Prüfzeichen, dem Österr. UZ oder dem Dt. Blauen Engel. Bei Emissionsflächen bis zu 100 % der Bruttogeschoßfläche kann der Nachweis entfallen. )</t>
  </si>
  <si>
    <t>Energiesparende Beleuchtung für die Allgemeinbereiche</t>
  </si>
  <si>
    <t>PVC-freie Elektroinstallation</t>
  </si>
  <si>
    <t>Warmwasserbereitung mit Fernwärme aus Abwärme oder KWK</t>
  </si>
  <si>
    <t>j</t>
  </si>
  <si>
    <t>EFH-PH ohne Zusatzpunkte</t>
  </si>
  <si>
    <t>EFH-PH, inkl. wahrscheinlicher Punkte, mit solarer WW</t>
  </si>
  <si>
    <t>n</t>
  </si>
  <si>
    <t>j/n</t>
  </si>
  <si>
    <t>MFH-NEH, ohne Lüftung, mit  Biomasse und Solar</t>
  </si>
  <si>
    <t>Solare Warmwasserbereitung (Jahresdeckung min. 50% od. Juni-August min. 85%)</t>
  </si>
  <si>
    <t>EFH-NEH - Cerveny</t>
  </si>
  <si>
    <t xml:space="preserve"> </t>
  </si>
  <si>
    <t>Photovoltaikanlage (5 Pkt. pro 200W)</t>
  </si>
  <si>
    <t>Thermischer Komfort im Winter (EN ISO 7730, ASHRAE B)</t>
  </si>
  <si>
    <t>Behaglichkeitsgrenzen im Winter ASHRAE Standard 55P (2003), A</t>
  </si>
  <si>
    <t>MFH - NEH, Gas, Solar</t>
  </si>
  <si>
    <t>Wasserspartaste WC; Handwaschbecken max. 9l/min; Wassersparende Duschköpfe max 12l/min</t>
  </si>
  <si>
    <t>PVC-freie Fenster, Türen, Rolläden</t>
  </si>
  <si>
    <t xml:space="preserve">PVC-freie: Wasser-, Abwasser- und Zuluftrohre im Gebäude, Abdichtungsbahnen, Folien, Fußbodenbeläge, und Tapeten auch als Verbundmaterial (z.B. bei Korkböden, Teppichen etc), </t>
  </si>
  <si>
    <t>NEH-gr. Wiener MFH, ohne Lüftung, mit Fernwärme u. volles Programm</t>
  </si>
  <si>
    <t>Frischluftanlage ohne Wärmerrückgewinnung optimiert ausgeführt</t>
  </si>
  <si>
    <t>Fahrradstellplatz - überdacht, absperrbar, einfach zugänglich</t>
  </si>
  <si>
    <t>Barrierefreies Bauen</t>
  </si>
  <si>
    <t>Luftdichte Gebäudehülle</t>
  </si>
  <si>
    <t>Heizwärmebedarf (Einstieg 150 Punkte: Zielwerte 2010 der 15a Vereinbarung; Maximum 300: Passivhaus)</t>
  </si>
  <si>
    <t>Wärmepumpe monovalent als Zentralheizung</t>
  </si>
  <si>
    <t>Fernwärme aus Abwärme oder KWK</t>
  </si>
  <si>
    <t>Solare Heizungseinbindung mit (Jahresdeckung min. 15%)</t>
  </si>
  <si>
    <t>Wärmedämmung des Warmwasserspeichers 15cm</t>
  </si>
  <si>
    <t>Wärmeverteilsystems optimiert</t>
  </si>
  <si>
    <t>Bodenversiegelung max. 5 m2 je Wohneinheit</t>
  </si>
  <si>
    <t xml:space="preserve">Dachbegrünung im dicht verbautem Gebiet </t>
  </si>
  <si>
    <t>Wärmedämmung der Anschlussfugen mit Stopfmaterialien, PVC-freien-Dichtungsbändern</t>
  </si>
  <si>
    <t>Bitumenvoranstriche, -anstriche und -klebstoffe lösemittelfrei</t>
  </si>
  <si>
    <t>Einsatz zertifizierter Baustoffe - 5 Pkte pro zertifiziertem Baustoff, der zu mindestens 20 % der Bruttogeschoßfläche eingesetzt wird.</t>
  </si>
  <si>
    <r>
      <t>OI3</t>
    </r>
    <r>
      <rPr>
        <vertAlign val="subscript"/>
        <sz val="10"/>
        <rFont val="Arial"/>
        <family val="2"/>
      </rPr>
      <t xml:space="preserve">TGH-BGF </t>
    </r>
    <r>
      <rPr>
        <sz val="10"/>
        <rFont val="Arial"/>
        <family val="2"/>
      </rPr>
      <t xml:space="preserve">ökologischer Index der thermischen Gebäudehülle </t>
    </r>
  </si>
  <si>
    <t>Verlegewerkstoffe entsprechend EMICODE EC1 oder gleichwertig</t>
  </si>
  <si>
    <t>Fußboden-Oberfächenbehandlung max. 8% Lösemittel, aromatenfrei; Teppiche emissionsarm</t>
  </si>
  <si>
    <t>Metall- und Holzanstriche mit max. 5% Lösemittel, aromatenfrei</t>
  </si>
  <si>
    <t>Elektrobiologisch optimierte Hausinstallation</t>
  </si>
  <si>
    <t>1a</t>
  </si>
  <si>
    <t>1b</t>
  </si>
  <si>
    <t>Muss-kriterium (M)</t>
  </si>
  <si>
    <t>Energiebedarf elektrisch</t>
  </si>
  <si>
    <t>Wasserbedarf</t>
  </si>
  <si>
    <t>Wärmebedarf und -versorgung</t>
  </si>
  <si>
    <t>A</t>
  </si>
  <si>
    <t>C</t>
  </si>
  <si>
    <t>Heizwärmebedarf HWB</t>
  </si>
  <si>
    <t>3b</t>
  </si>
  <si>
    <t>D</t>
  </si>
  <si>
    <t>Vermeidung kritischer Stoffe</t>
  </si>
  <si>
    <t>Ökologie der Baustoffe und Konstruktionen</t>
  </si>
  <si>
    <t>max. Punktzahl</t>
  </si>
  <si>
    <t>Prozess- und Planungsqualität</t>
  </si>
  <si>
    <t>Primärenergiekennwert PHPP</t>
  </si>
  <si>
    <t>vereinfachte Berechnung Wirtschaftlichkeit</t>
  </si>
  <si>
    <t>2b</t>
  </si>
  <si>
    <t>Definition überprüfbarer energetischer und ökologischer Ziele - ökologisches Programm</t>
  </si>
  <si>
    <t xml:space="preserve">PV-Anlage </t>
  </si>
  <si>
    <t>differenzierte Verbrauchserfassung</t>
  </si>
  <si>
    <t>1</t>
  </si>
  <si>
    <t>Fahrradabstellplätze</t>
  </si>
  <si>
    <t>b</t>
  </si>
  <si>
    <t>Bestands- und Schwachstellenanalyse</t>
  </si>
  <si>
    <t>max 125</t>
  </si>
  <si>
    <t>KGA erstellt durch:</t>
  </si>
  <si>
    <t>Büro:</t>
  </si>
  <si>
    <t>Name:</t>
  </si>
  <si>
    <t>Datum:</t>
  </si>
  <si>
    <t>Unterschrift</t>
  </si>
  <si>
    <t>Produktmanagement - Einsatz regionaler, schadstoffarmer und emissionsarmer Bauprodukte und Konstruktionen</t>
  </si>
  <si>
    <t>Detaillierte Überprüfung der Energiebedarfsberechnungen (PHPPP)</t>
  </si>
  <si>
    <t>Nachweis nach PHPP</t>
  </si>
  <si>
    <t>5b</t>
  </si>
  <si>
    <t>6b</t>
  </si>
  <si>
    <t>Energieeffiziente Beleuchtung</t>
  </si>
  <si>
    <t>Vermeidung von PVC</t>
  </si>
  <si>
    <t xml:space="preserve">Messung Raumluftqualität </t>
  </si>
  <si>
    <t>alternativ: Nachweis gem. OIB RL 6</t>
  </si>
  <si>
    <t>Primärenergiebedarf  (Einführung nach Vorliegen der überarbeiteten OIB Richtlinie 6)</t>
  </si>
  <si>
    <t>Musskriterium (M)</t>
  </si>
  <si>
    <t>erreichte Punkte</t>
  </si>
  <si>
    <r>
      <t>Emissionen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nach PHPP</t>
    </r>
  </si>
  <si>
    <r>
      <t>OI3</t>
    </r>
    <r>
      <rPr>
        <b/>
        <vertAlign val="subscript"/>
        <sz val="10"/>
        <color indexed="8"/>
        <rFont val="Arial"/>
        <family val="2"/>
      </rPr>
      <t xml:space="preserve">BG3, BZF    </t>
    </r>
    <r>
      <rPr>
        <b/>
        <sz val="10"/>
        <color indexed="8"/>
        <rFont val="Arial"/>
        <family val="2"/>
      </rPr>
      <t>ökologischer Index der  Gesamtmasse des Gebäudes</t>
    </r>
  </si>
  <si>
    <t>M (ab 2012)</t>
  </si>
  <si>
    <t xml:space="preserve">Kenngröße </t>
  </si>
  <si>
    <t>Beschreibung</t>
  </si>
  <si>
    <t>Punkte*</t>
  </si>
  <si>
    <t xml:space="preserve">Raumprogramm mit energetisch relevanten Eigenschaften und Anforderungen </t>
  </si>
  <si>
    <t>Raumgrößen, Art- Dauer und Intensität der Nutzung und energetisch relevanten Anforderungen wie gewünschtes Temperaturniveau, Luftmengen, etc.</t>
  </si>
  <si>
    <t>Angaben zur gewünschten Zahl von Fahrrad-Abstellplätzen</t>
  </si>
  <si>
    <t>Heizwärmebedarf</t>
  </si>
  <si>
    <t>Mit Angabe der Berechnungsmethode</t>
  </si>
  <si>
    <t>Primärenergiebedarf</t>
  </si>
  <si>
    <r>
      <t>Emissionen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-Äquivalente</t>
    </r>
  </si>
  <si>
    <t>Definition des Lüftungsstandards</t>
  </si>
  <si>
    <t>Jahresertrag PV</t>
  </si>
  <si>
    <t>Deckungsgrade solarthermische Anlage</t>
  </si>
  <si>
    <t>Anforderungsprofil Beleuchtung/Notbeleuchtung</t>
  </si>
  <si>
    <t>Anforderungsprofil Kühlung</t>
  </si>
  <si>
    <t>Zertifizierung PH ja/nein</t>
  </si>
  <si>
    <t>Angaben zur Tageslichtnutzung</t>
  </si>
  <si>
    <t>Anforderungsprofil thermischer Komfort Sommer</t>
  </si>
  <si>
    <t>Angaben zu gewünschten nachwachsenden, regional verfügbaren und Recycling-Baustoffen</t>
  </si>
  <si>
    <t>Angaben zu gewünschten Materialverzichten</t>
  </si>
  <si>
    <t>Nachhaltige Ausschreibung und Chemikalienmanagement</t>
  </si>
  <si>
    <t xml:space="preserve">Definition von zu erreichenden Punkten beim Kommunalgebäudeausweis </t>
  </si>
  <si>
    <t>* jeweils 1 Punkt, wenn Thema bzw. Kriterium im Ökologischen Programm definiert ist.</t>
  </si>
  <si>
    <t>Kriterium</t>
  </si>
  <si>
    <t>Punkte (gesamt max. 120)</t>
  </si>
  <si>
    <t>Auswertung*</t>
  </si>
  <si>
    <t>Gibt es eine Dokumentation zu ökologischen Bauteiloptimierung im Rahmen der Entwurfs-, Baueingabe und Detailplanung</t>
  </si>
  <si>
    <t xml:space="preserve">Wurden alle relevanten Ausschreibungen[1] „ökologisch“ nach den Kriterien der baubook öffentliche Gebäude ausgeschrieben? (zumindest 70% der baubook öffentliche Gebäude „Standardkriterienauswahl“) </t>
  </si>
  <si>
    <t>100 % aller Ausschreibungen ökologisch ausgeschrieben</t>
  </si>
  <si>
    <t>mind. 90 % Ausschreibungen ökologisch ausgeschrieben</t>
  </si>
  <si>
    <t>100 % aller Ausschreibungen mit allen Kriterien ökologisch ausgeschrieben</t>
  </si>
  <si>
    <t>mind. 90 % aller Ausschreibungen mit allen Kriterien ökologisch ausgeschrieben</t>
  </si>
  <si>
    <t>mind.70 % aller Ausschreibungen mit allen Kriterien ökologisch ausgeschrieben</t>
  </si>
  <si>
    <t>Gibt es eine ökologische Bauaufsicht?</t>
  </si>
  <si>
    <t>Wurden regelmäßige Kontrollen zum Materialeinsatz durchgeführt und wurden diese dokumentiert?</t>
  </si>
  <si>
    <t>dem Baufortschritt entsprechend (alle Gewerke erfasst)</t>
  </si>
  <si>
    <t>stichprobenartig (nicht alle Gewerke erfasst)</t>
  </si>
  <si>
    <t>Beistellung von Holz aus der Region (Radius 100km) durch die Kommune für</t>
  </si>
  <si>
    <t>Konstruktiven Holzbau</t>
  </si>
  <si>
    <t>Fassade</t>
  </si>
  <si>
    <t>Fenster</t>
  </si>
  <si>
    <t>Summe</t>
  </si>
  <si>
    <t>[1] Außer Erdarbeiten, Abbrucharbeiten, Gerüstbau, Einrichtungen, Außenanlagen und Schließanlage</t>
  </si>
  <si>
    <t>Punktezuweisung gemäß Auswertetool PD</t>
  </si>
  <si>
    <t>Muss</t>
  </si>
  <si>
    <t>Auswertung</t>
  </si>
  <si>
    <t>Erhebung der Bestandsbauteile</t>
  </si>
  <si>
    <t>Auf Grundlage von Pläne, Befragungen und örtlichen Befundaufnahmen</t>
  </si>
  <si>
    <t>Berechnung Bestandsenergieausweis</t>
  </si>
  <si>
    <t>Ausweisung von Schwachstellen und Quantifizierung von Einsparpotenzialen</t>
  </si>
  <si>
    <t>Detaillierte Analyse und Bericht mit (graphischer) Darstellung der Einsparpotenziale und möglichen Sanierungswegen</t>
  </si>
  <si>
    <t>Erfassung Haustechnik mit Schwachstellenanalyse</t>
  </si>
  <si>
    <t>Heizen, Warmwasser, Wärmeverteilung, Kühlung, Lüftung</t>
  </si>
  <si>
    <t>Schadstofferkundung (mit Protokoll)</t>
  </si>
  <si>
    <t>Erhebung und Protokollierung in Anlehnung an ÖNORM S 5730</t>
  </si>
  <si>
    <t>* Punktevergabe, wenn Kenngröße bearbeitet wurden (keine Qualitätsüberprüfung)</t>
  </si>
  <si>
    <t>Punkte (gesamt max. 75)</t>
  </si>
  <si>
    <t xml:space="preserve">Auswertung </t>
  </si>
  <si>
    <t>Nur bei Gebäuden mit weniger als 35 % Fensterflächenanteil an der Außenwand (leichte  Bauweise) bzw. 40 % Fensterflächenanteil an der Außenwand (mittelschwere und schwere Bauweise) und ohne aktive Kühlung</t>
  </si>
  <si>
    <t>oder Nachweis OIB RL-6; KB* &lt; 0,5 kWh/m³a</t>
  </si>
  <si>
    <t>oder Nachweis PHPP, Überschreitung 26 °C &lt; 5 %</t>
  </si>
  <si>
    <t>Dynamische Gebäudesimulation (zumindest für kritische Räume) unter Berücksichtigung des Standortklimas, flexibler Verschattungssysteme sowie der zu erwartenden Nutzungen</t>
  </si>
  <si>
    <t>Überschreitung 26 °C &lt; 5 % ohne aktives Kühlsystem (zB freie Nachtkühlung)</t>
  </si>
  <si>
    <t>Überschreitung 26 °C &lt; 10 % ohne aktives Kühlsystem (zB freie Nachtkühlung)</t>
  </si>
  <si>
    <t>Überschreitung 26 °C &lt; 3 % mit aktivem Kühlsystem</t>
  </si>
  <si>
    <t>VOC</t>
  </si>
  <si>
    <t>Kl I</t>
  </si>
  <si>
    <t>&lt; 300 µg/m³</t>
  </si>
  <si>
    <t>50 Punkte</t>
  </si>
  <si>
    <t>Kl II</t>
  </si>
  <si>
    <t>300 - 500 µg/m³</t>
  </si>
  <si>
    <t>35 Punkte</t>
  </si>
  <si>
    <t>Kl III</t>
  </si>
  <si>
    <t>500 - 1.000 µg/m³</t>
  </si>
  <si>
    <t>20 Punkte</t>
  </si>
  <si>
    <t>Kl IV</t>
  </si>
  <si>
    <t xml:space="preserve"> 1.000 – 3000 µg/m³</t>
  </si>
  <si>
    <t>0 Punkte, 
Quellensuche empfohlen</t>
  </si>
  <si>
    <t>&gt; 3.000 µg/m³</t>
  </si>
  <si>
    <t>Quellensuche erforderlich</t>
  </si>
  <si>
    <t>Formaldehyd</t>
  </si>
  <si>
    <t>&lt; 0,04 ppm</t>
  </si>
  <si>
    <t>30 Punkte</t>
  </si>
  <si>
    <t>0,04 - 0,08 ppm</t>
  </si>
  <si>
    <t>0,08 - 0,1 ppm</t>
  </si>
  <si>
    <t>10 Punkte</t>
  </si>
  <si>
    <t>&gt; 0,1 ppm</t>
  </si>
  <si>
    <t>Folien, Fußbodenbelägen und Wandbeläge</t>
  </si>
  <si>
    <t>(M) 
0 Punkte</t>
  </si>
  <si>
    <r>
      <rPr>
        <sz val="10"/>
        <rFont val="Arial"/>
        <family val="2"/>
      </rPr>
      <t>Kunststofffolien und Vliese jeglicher Art (Dampfbremsen, Abdichtungsbahnen, Trennschichten, Baufolien etc.)</t>
    </r>
    <r>
      <rPr>
        <sz val="10"/>
        <color indexed="8"/>
        <rFont val="Arial"/>
        <family val="2"/>
      </rPr>
      <t xml:space="preserve"> und Dichtstoffe </t>
    </r>
  </si>
  <si>
    <t xml:space="preserve">        </t>
  </si>
  <si>
    <t xml:space="preserve">Fußbodenbeläge und deren Bestandteile, inkl. Sockelleisten, Wandbeläge (Tapeten) </t>
  </si>
  <si>
    <r>
      <rPr>
        <sz val="10"/>
        <rFont val="Arial"/>
        <family val="2"/>
      </rPr>
      <t>Wasser-, Abwasser- sowie Zu- und Abluftrohre im Gebäude</t>
    </r>
    <r>
      <rPr>
        <sz val="10"/>
        <color indexed="8"/>
        <rFont val="Arial"/>
        <family val="2"/>
      </rPr>
      <t xml:space="preserve"> </t>
    </r>
  </si>
  <si>
    <t>Elektroinstallationsmaterialien</t>
  </si>
  <si>
    <t xml:space="preserve">Elektroinstallationsmaterialien (Kabel, Leitungen, Rohre, Dosen etc.) </t>
  </si>
  <si>
    <t xml:space="preserve">Fenster/Sonnen und/oder Sichtschutz am Objekt </t>
  </si>
  <si>
    <t>Fenster und Türen/Tore (10 Punkte)</t>
  </si>
  <si>
    <t>Sonnen- und/oder Sichtschutz am Objekt (5 Punkte)</t>
  </si>
  <si>
    <t>5 Punkte</t>
  </si>
  <si>
    <t>OI3ND=100</t>
  </si>
  <si>
    <t>NR San</t>
  </si>
  <si>
    <t>BZF</t>
  </si>
  <si>
    <t>m²</t>
  </si>
  <si>
    <t>NR Neu</t>
  </si>
  <si>
    <t>Kond. BGF</t>
  </si>
  <si>
    <t>nicht kond BGF</t>
  </si>
  <si>
    <t>Nutzungsdauer 100 Jahre</t>
  </si>
  <si>
    <t>PEI</t>
  </si>
  <si>
    <t>MJ</t>
  </si>
  <si>
    <t>CO2</t>
  </si>
  <si>
    <t>kg/CO2</t>
  </si>
  <si>
    <t>SO2</t>
  </si>
  <si>
    <t>kg/SO2</t>
  </si>
  <si>
    <t>Punkte Sanierung</t>
  </si>
  <si>
    <t>OI3BG3, BZF    ökologischer Index der  Gesamtmasse des Gebäudes</t>
  </si>
  <si>
    <t>Projekt</t>
  </si>
  <si>
    <t>Angaben zum Objekt</t>
  </si>
  <si>
    <t>Objektbezeichnung</t>
  </si>
  <si>
    <t>Hinweise:</t>
  </si>
  <si>
    <t>Kindergarten</t>
  </si>
  <si>
    <t xml:space="preserve">Detaillierte Angaben zur erfolrderlichen Qualität der Abstellanlagen </t>
  </si>
  <si>
    <t>Standortgemeinde</t>
  </si>
  <si>
    <t>Wolfurt</t>
  </si>
  <si>
    <t>und Radständer finden sich im Leitfaden.</t>
  </si>
  <si>
    <t>Arbeitsplätze/Beschäftigte</t>
  </si>
  <si>
    <t>Schüler/Kindergärtner</t>
  </si>
  <si>
    <t>Bewohner (Pflegeheime)</t>
  </si>
  <si>
    <t>Angaben zum geplanten Radständersystem (Angaben in %)</t>
  </si>
  <si>
    <t>Anteil Tiefparker</t>
  </si>
  <si>
    <t>Anteil Hoch/Tiefparker</t>
  </si>
  <si>
    <t>Hoch/Tiefparker = Höhenversetzte Aufstellung der Vorderräder</t>
  </si>
  <si>
    <t>Vorgesehene Stellfläche</t>
  </si>
  <si>
    <t xml:space="preserve"> m²</t>
  </si>
  <si>
    <t>Mindestausstattung</t>
  </si>
  <si>
    <t>Optimalausstattung</t>
  </si>
  <si>
    <t>Punkteermittlung</t>
  </si>
  <si>
    <t>Punkte bei Erreichung der Mindestausstattung</t>
  </si>
  <si>
    <t>Punkte bei Erreichung der Maximalausstattung</t>
  </si>
  <si>
    <t>Erreichte Punkte</t>
  </si>
  <si>
    <t>Gemeinde</t>
  </si>
  <si>
    <t>Kategorie</t>
  </si>
  <si>
    <t>Faktor</t>
  </si>
  <si>
    <t>Alberschwende</t>
  </si>
  <si>
    <t>Kategorie B: Gute Eignung für den innerörtlichen Alltagsradverkehr</t>
  </si>
  <si>
    <t>Altach</t>
  </si>
  <si>
    <t>Kategorie A: Gute Eignung für innerörtlichen und überkommunalen Alltagsradverkehr</t>
  </si>
  <si>
    <t>Andelsbuch</t>
  </si>
  <si>
    <t>Au</t>
  </si>
  <si>
    <t>Bartholomäberg</t>
  </si>
  <si>
    <t>Kategorie C: Eingeschränkte Eignung für den Alltagsradverkehr</t>
  </si>
  <si>
    <t>Bezau</t>
  </si>
  <si>
    <t>Bildstein</t>
  </si>
  <si>
    <t>Bizau</t>
  </si>
  <si>
    <t>Blons</t>
  </si>
  <si>
    <t>Bludenz</t>
  </si>
  <si>
    <t>Bludesch</t>
  </si>
  <si>
    <t>Brand</t>
  </si>
  <si>
    <t>Bregenz</t>
  </si>
  <si>
    <t>Bregenz - Fluh</t>
  </si>
  <si>
    <t>Buch</t>
  </si>
  <si>
    <t>Bürs</t>
  </si>
  <si>
    <t>Bürserberg</t>
  </si>
  <si>
    <t>Dalaas</t>
  </si>
  <si>
    <t>Damüls</t>
  </si>
  <si>
    <t>Donbirn - Watzenegg</t>
  </si>
  <si>
    <t>Doren</t>
  </si>
  <si>
    <t>Dornbirn</t>
  </si>
  <si>
    <t>Dornbirn - Ebnit</t>
  </si>
  <si>
    <t>Dornbirn - Kehlegg</t>
  </si>
  <si>
    <t>Düns</t>
  </si>
  <si>
    <t>Dünserberg</t>
  </si>
  <si>
    <t>Egg</t>
  </si>
  <si>
    <t>Eichenberg</t>
  </si>
  <si>
    <t>Feldkirch</t>
  </si>
  <si>
    <t>Fontanella</t>
  </si>
  <si>
    <t>Frastanz</t>
  </si>
  <si>
    <t>Frastanz - Amerlügern</t>
  </si>
  <si>
    <t>Frastanz - Fellengatter</t>
  </si>
  <si>
    <t>Frastanz - Frastaferders</t>
  </si>
  <si>
    <t>Frastanz - Gampelün</t>
  </si>
  <si>
    <t>Fraxern</t>
  </si>
  <si>
    <t>Fußach</t>
  </si>
  <si>
    <t>Gaißau</t>
  </si>
  <si>
    <t>Gaschurn</t>
  </si>
  <si>
    <t>Göfis</t>
  </si>
  <si>
    <t>Götzis</t>
  </si>
  <si>
    <t>Götzis - Meschach</t>
  </si>
  <si>
    <t>Hard</t>
  </si>
  <si>
    <t>Hittisau</t>
  </si>
  <si>
    <t>Höchst</t>
  </si>
  <si>
    <t>Hohenems</t>
  </si>
  <si>
    <t>Hohenems - Reuthe</t>
  </si>
  <si>
    <t>Hohenweiler</t>
  </si>
  <si>
    <t>Hörbranz</t>
  </si>
  <si>
    <t>Innerbraz</t>
  </si>
  <si>
    <t>Kennelbach</t>
  </si>
  <si>
    <t>Klaus</t>
  </si>
  <si>
    <t>Klösterle</t>
  </si>
  <si>
    <t>Koblach</t>
  </si>
  <si>
    <t>Krumbach</t>
  </si>
  <si>
    <t>Langen bei Bregenz</t>
  </si>
  <si>
    <t>Langenegg</t>
  </si>
  <si>
    <t>Laterns</t>
  </si>
  <si>
    <t>Lauterach</t>
  </si>
  <si>
    <t>Lech</t>
  </si>
  <si>
    <t>Lingenau</t>
  </si>
  <si>
    <t>Lochau</t>
  </si>
  <si>
    <t>Lorüns</t>
  </si>
  <si>
    <t>Ludesch</t>
  </si>
  <si>
    <t>Lustenau</t>
  </si>
  <si>
    <t>Mäder</t>
  </si>
  <si>
    <t>Meiningen</t>
  </si>
  <si>
    <t>Mellau</t>
  </si>
  <si>
    <t>Mittelberg</t>
  </si>
  <si>
    <t>Möggers</t>
  </si>
  <si>
    <t>Nenzing</t>
  </si>
  <si>
    <t>Nenzing - Gurtis</t>
  </si>
  <si>
    <t>Nenzing - Latz</t>
  </si>
  <si>
    <t>Nüziders</t>
  </si>
  <si>
    <t>Raggal</t>
  </si>
  <si>
    <t>Rankweil</t>
  </si>
  <si>
    <t>Reuthe</t>
  </si>
  <si>
    <t>Riefensberg</t>
  </si>
  <si>
    <t>Röns</t>
  </si>
  <si>
    <t>Röthis</t>
  </si>
  <si>
    <t>Satteins</t>
  </si>
  <si>
    <t>Schlins</t>
  </si>
  <si>
    <t>Schnepfau</t>
  </si>
  <si>
    <t>Schnifis</t>
  </si>
  <si>
    <t>Schoppernau</t>
  </si>
  <si>
    <t>Schröcken</t>
  </si>
  <si>
    <t>Schruns</t>
  </si>
  <si>
    <t>Schwarzach</t>
  </si>
  <si>
    <t>Schwarzenberg</t>
  </si>
  <si>
    <t>Sibratsgfäll</t>
  </si>
  <si>
    <t>Silbertal</t>
  </si>
  <si>
    <t>Sonntag</t>
  </si>
  <si>
    <t>St. Anton im Montafon</t>
  </si>
  <si>
    <t>St. Gallenkirch</t>
  </si>
  <si>
    <t>St. Gerold</t>
  </si>
  <si>
    <t>Stallehr</t>
  </si>
  <si>
    <t>Sulz</t>
  </si>
  <si>
    <t>Sulzberg</t>
  </si>
  <si>
    <t>Thüringen</t>
  </si>
  <si>
    <t>Thüringerberg</t>
  </si>
  <si>
    <t>Tschagguns</t>
  </si>
  <si>
    <t>Übersaxen</t>
  </si>
  <si>
    <t>Vandans</t>
  </si>
  <si>
    <t>Viktorsberg</t>
  </si>
  <si>
    <t>Warth</t>
  </si>
  <si>
    <t>Weiler</t>
  </si>
  <si>
    <t>Zwischenwasser - Batschuns</t>
  </si>
  <si>
    <t>Zwischenwasser - Dafins</t>
  </si>
  <si>
    <t>Zwischenwasser - Muntlix</t>
  </si>
  <si>
    <t>Gebäudetyp</t>
  </si>
  <si>
    <t>Mitarbeiter Min</t>
  </si>
  <si>
    <t>Mitarbeiter Max</t>
  </si>
  <si>
    <t>Besucher Min</t>
  </si>
  <si>
    <t>Besucher Max</t>
  </si>
  <si>
    <t>Ausbildungsplatz Min</t>
  </si>
  <si>
    <t>Ausbildungsplatz Max</t>
  </si>
  <si>
    <t>Bezugsgröße 1</t>
  </si>
  <si>
    <t>Bezugsgröße 2</t>
  </si>
  <si>
    <t>Bezugsgröße 3</t>
  </si>
  <si>
    <t>Verwaltungsgebäude</t>
  </si>
  <si>
    <t>Ausbildungsplätze</t>
  </si>
  <si>
    <t>Volksschule</t>
  </si>
  <si>
    <t>Mittelschule/Hauptschule</t>
  </si>
  <si>
    <t>Pflegeheim/Altersheim</t>
  </si>
  <si>
    <t>Bewohner</t>
  </si>
  <si>
    <t>Eingabe PHPP</t>
  </si>
  <si>
    <t>A/V-Verhältnis</t>
  </si>
  <si>
    <t>1/m</t>
  </si>
  <si>
    <t>Spezifischer Heizwärmbedarf HWB</t>
  </si>
  <si>
    <t>kWh/m²a</t>
  </si>
  <si>
    <t>kgCO2/m²a</t>
  </si>
  <si>
    <t>Ergebnisse</t>
  </si>
  <si>
    <t>Charakertistische Länge lc</t>
  </si>
  <si>
    <t>m</t>
  </si>
  <si>
    <t>Maximal zulässiger HWB</t>
  </si>
  <si>
    <t>HWB-Punkte</t>
  </si>
  <si>
    <t>PEB-Punkte</t>
  </si>
  <si>
    <t>Eingabe OIB RL-6</t>
  </si>
  <si>
    <t>Spezifischer Heizwärmbedarf HWB*</t>
  </si>
  <si>
    <t>kWh/m³a</t>
  </si>
  <si>
    <t>Maximal zulässiger HWB*</t>
  </si>
  <si>
    <t>Nennbeleuchtungsstärke</t>
  </si>
  <si>
    <t>Mindestanforderung</t>
  </si>
  <si>
    <t>Auswahl</t>
  </si>
  <si>
    <t>(35 Punkte)</t>
  </si>
  <si>
    <t>0/1</t>
  </si>
  <si>
    <t>100 lx</t>
  </si>
  <si>
    <r>
      <t xml:space="preserve">  4,5 W/m</t>
    </r>
    <r>
      <rPr>
        <vertAlign val="superscript"/>
        <sz val="10"/>
        <color indexed="8"/>
        <rFont val="Arial"/>
        <family val="2"/>
      </rPr>
      <t>2</t>
    </r>
  </si>
  <si>
    <t>300 lx</t>
  </si>
  <si>
    <r>
      <t>10,0 W/m</t>
    </r>
    <r>
      <rPr>
        <vertAlign val="superscript"/>
        <sz val="10"/>
        <color indexed="8"/>
        <rFont val="Arial"/>
        <family val="2"/>
      </rPr>
      <t>2</t>
    </r>
  </si>
  <si>
    <t>500 lx</t>
  </si>
  <si>
    <r>
      <t>15,0 W/m</t>
    </r>
    <r>
      <rPr>
        <vertAlign val="superscript"/>
        <sz val="10"/>
        <color indexed="8"/>
        <rFont val="Arial"/>
        <family val="2"/>
      </rPr>
      <t>2</t>
    </r>
  </si>
  <si>
    <t>750 lx</t>
  </si>
  <si>
    <r>
      <t>20,0 W/m</t>
    </r>
    <r>
      <rPr>
        <vertAlign val="superscript"/>
        <sz val="10"/>
        <color indexed="8"/>
        <rFont val="Arial"/>
        <family val="2"/>
      </rPr>
      <t>2</t>
    </r>
  </si>
  <si>
    <t>1000 lx</t>
  </si>
  <si>
    <r>
      <t>25,0 W/m</t>
    </r>
    <r>
      <rPr>
        <vertAlign val="superscript"/>
        <sz val="10"/>
        <color indexed="8"/>
        <rFont val="Arial"/>
        <family val="2"/>
      </rPr>
      <t>2</t>
    </r>
  </si>
  <si>
    <t>Punkte1</t>
  </si>
  <si>
    <t>Art der Beleuchtungssteuerung</t>
  </si>
  <si>
    <t>präsenzabhängige Ein- und Ausschaltung</t>
  </si>
  <si>
    <t xml:space="preserve">  5 Punkte</t>
  </si>
  <si>
    <t>präsenzabhängige Ausschaltung und manuelle Einschaltung</t>
  </si>
  <si>
    <t>tageslichtabhängige Ein- und Ausschaltung</t>
  </si>
  <si>
    <t>12 Punkte</t>
  </si>
  <si>
    <t>tageslichtabhängige Ausschaltung und manuelle Einschaltung</t>
  </si>
  <si>
    <t>15 Punkte</t>
  </si>
  <si>
    <t>Gesamtpunkte Beleuchtung</t>
  </si>
  <si>
    <t>Eingabe</t>
  </si>
  <si>
    <t>Installierte Fläche</t>
  </si>
  <si>
    <t>kWh/a</t>
  </si>
  <si>
    <t>Installierte Fläche  Mindestanforderung 
(südorientiert)</t>
  </si>
  <si>
    <t>Installierte Fläche  Sollanforderung 
(südorientiert)</t>
  </si>
  <si>
    <t>Mindestjahresertrag</t>
  </si>
  <si>
    <t>Solljahresertrag</t>
  </si>
  <si>
    <t>NR</t>
  </si>
  <si>
    <t>Gesamtpunkte PV</t>
  </si>
  <si>
    <t>Energiekennwert Heizwärme PHPP</t>
  </si>
  <si>
    <t>PV-Anlage</t>
  </si>
  <si>
    <t>Heizwärmebedarf HWB nach OIB RL 6</t>
  </si>
  <si>
    <t>Energie und Versorgung - Nachweis nach PHPP</t>
  </si>
  <si>
    <t>Ortszuweisung-Fahrradabstellplätze - KEIN Eingabeblatt</t>
  </si>
  <si>
    <t>Gebäudezuordnung-Fahrradabstellplätze - KEIN Eingabeblatt</t>
  </si>
  <si>
    <t xml:space="preserve">OI3BG3, BZF  </t>
  </si>
  <si>
    <t>ermittelter Jahresertrag
Nachweis durch Berechnung mit geeignetem Programm</t>
  </si>
  <si>
    <r>
      <t>Emissionen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(Einführung nach Vorliegen der überarbeiteten OIB Richtlinie 6)</t>
    </r>
  </si>
  <si>
    <r>
      <t>Mindest- und Optimalausstattung</t>
    </r>
    <r>
      <rPr>
        <sz val="11"/>
        <color indexed="8"/>
        <rFont val="Arial"/>
        <family val="2"/>
      </rPr>
      <t xml:space="preserve"> (in Abhängkeit von Objektyp, Gemeindekategorie und Ständersystem)</t>
    </r>
  </si>
  <si>
    <r>
      <t xml:space="preserve">Stellplätze
</t>
    </r>
    <r>
      <rPr>
        <sz val="11"/>
        <color indexed="8"/>
        <rFont val="Arial"/>
        <family val="2"/>
      </rPr>
      <t>(aufgerundete Zahlen)</t>
    </r>
  </si>
  <si>
    <r>
      <t>Stellfläche</t>
    </r>
    <r>
      <rPr>
        <sz val="11"/>
        <color indexed="8"/>
        <rFont val="Arial"/>
        <family val="2"/>
      </rPr>
      <t xml:space="preserve"> 
(ohne Rangierfläche)</t>
    </r>
  </si>
  <si>
    <t>Punkte 2</t>
  </si>
  <si>
    <t>Eingabefelder</t>
  </si>
  <si>
    <t>Rechenfelder</t>
  </si>
  <si>
    <t>mind. 80 % Ausschreibungen ökologisch ausgeschrieben</t>
  </si>
  <si>
    <r>
      <t>Wurde die Standardkriterienauswahl der baubook öffentliche Gebäude in allen Ausschreibungen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übernommen?</t>
    </r>
  </si>
  <si>
    <r>
      <t>Wurden alle Produkte aller Gewerke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deklariert und freigegeben? (Dokumentation)</t>
    </r>
  </si>
  <si>
    <t>85 % aller Gewerke haben deklariert und wurden freigegeben</t>
  </si>
  <si>
    <t>mind. 70 % Gewerke haben deklariert und wurden freigegeben</t>
  </si>
  <si>
    <t>mind. 50 % Gewerke haben deklariert und wurden freigegeben?</t>
  </si>
  <si>
    <t>oder Nachweis OIB RL-6; KB* &lt; 1,0 kWh/m³a</t>
  </si>
  <si>
    <t>Nachweis ON B8110-3 oder Nachweis OIB RL-6; KB* &lt; 2,0 kWh/m³a (Musskriterium)</t>
  </si>
  <si>
    <t xml:space="preserve">Punkte Jahresertragsnachweis </t>
  </si>
  <si>
    <t xml:space="preserve">Nachweis Installierte Fläche </t>
  </si>
  <si>
    <t>Energiebezugsfläche (analog PHPP bzw. OIB RL 6)</t>
  </si>
  <si>
    <r>
      <t>OI3(BGF</t>
    </r>
    <r>
      <rPr>
        <sz val="6"/>
        <rFont val="Arial"/>
        <family val="2"/>
      </rPr>
      <t>3</t>
    </r>
    <r>
      <rPr>
        <sz val="10"/>
        <rFont val="Arial"/>
        <family val="2"/>
      </rPr>
      <t>,BZF)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</si>
</sst>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&quot;.&quot;"/>
    <numFmt numFmtId="173" formatCode="&quot;max. &quot;0"/>
    <numFmt numFmtId="174" formatCode="@&quot; - Kriterien&quot;"/>
    <numFmt numFmtId="175" formatCode="#,##0_ ;\-#,##0\ 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L Frutiger Light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Frutiger 95 UltraBlack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L Frutiger Light"/>
      <family val="0"/>
    </font>
    <font>
      <b/>
      <sz val="12"/>
      <name val="L Frutiger Light"/>
      <family val="0"/>
    </font>
    <font>
      <i/>
      <sz val="10"/>
      <name val="Arial"/>
      <family val="2"/>
    </font>
    <font>
      <i/>
      <sz val="10"/>
      <name val="L Frutiger Light"/>
      <family val="0"/>
    </font>
    <font>
      <i/>
      <sz val="12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2"/>
      <color indexed="8"/>
      <name val="Arial"/>
      <family val="2"/>
    </font>
    <font>
      <b/>
      <i/>
      <sz val="10"/>
      <color indexed="63"/>
      <name val="Arial"/>
      <family val="2"/>
    </font>
    <font>
      <b/>
      <vertAlign val="subscript"/>
      <sz val="10"/>
      <color indexed="8"/>
      <name val="Arial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i/>
      <sz val="16"/>
      <name val="L Frutiger Light"/>
      <family val="0"/>
    </font>
    <font>
      <sz val="16"/>
      <name val="Arial"/>
      <family val="2"/>
    </font>
    <font>
      <b/>
      <sz val="16"/>
      <name val="Frutiger 95 UltraBlack"/>
      <family val="0"/>
    </font>
    <font>
      <b/>
      <sz val="16"/>
      <name val="L Frutiger Light"/>
      <family val="0"/>
    </font>
    <font>
      <b/>
      <sz val="10"/>
      <color indexed="63"/>
      <name val="Arial"/>
      <family val="2"/>
    </font>
    <font>
      <sz val="11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62"/>
      <name val="Arial"/>
      <family val="2"/>
    </font>
    <font>
      <sz val="12"/>
      <name val="L Frutiger Light"/>
      <family val="0"/>
    </font>
    <font>
      <vertAlign val="superscript"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22"/>
      <color indexed="8"/>
      <name val="Arial"/>
      <family val="0"/>
    </font>
    <font>
      <b/>
      <sz val="14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hair"/>
    </border>
    <border>
      <left style="hair"/>
      <right style="medium"/>
      <top style="medium"/>
      <bottom style="thin"/>
    </border>
    <border>
      <left style="hair"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medium"/>
      <bottom style="hair"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medium"/>
    </border>
    <border>
      <left style="medium"/>
      <right style="medium"/>
      <top>
        <color indexed="63"/>
      </top>
      <bottom style="thin">
        <color indexed="23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 style="medium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>
        <color indexed="63"/>
      </right>
      <top style="medium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2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0" borderId="2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6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3" borderId="9" applyNumberFormat="0" applyAlignment="0" applyProtection="0"/>
  </cellStyleXfs>
  <cellXfs count="68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21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5" fillId="20" borderId="14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21" borderId="12" xfId="0" applyFill="1" applyBorder="1" applyAlignment="1">
      <alignment horizontal="center" vertical="center"/>
    </xf>
    <xf numFmtId="172" fontId="0" fillId="21" borderId="13" xfId="0" applyNumberForma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172" fontId="0" fillId="11" borderId="13" xfId="0" applyNumberForma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172" fontId="0" fillId="20" borderId="13" xfId="0" applyNumberForma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72" fontId="0" fillId="8" borderId="13" xfId="0" applyNumberForma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172" fontId="0" fillId="21" borderId="19" xfId="0" applyNumberFormat="1" applyFill="1" applyBorder="1" applyAlignment="1">
      <alignment horizontal="center" vertical="center"/>
    </xf>
    <xf numFmtId="0" fontId="0" fillId="21" borderId="20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/>
    </xf>
    <xf numFmtId="172" fontId="2" fillId="24" borderId="22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vertical="center" wrapText="1"/>
    </xf>
    <xf numFmtId="0" fontId="0" fillId="11" borderId="18" xfId="0" applyFill="1" applyBorder="1" applyAlignment="1">
      <alignment horizontal="center" vertical="center"/>
    </xf>
    <xf numFmtId="172" fontId="0" fillId="11" borderId="19" xfId="0" applyNumberForma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left" vertical="center" wrapText="1"/>
    </xf>
    <xf numFmtId="0" fontId="8" fillId="15" borderId="23" xfId="0" applyFont="1" applyFill="1" applyBorder="1" applyAlignment="1">
      <alignment horizontal="left" vertical="center" wrapText="1"/>
    </xf>
    <xf numFmtId="0" fontId="2" fillId="15" borderId="24" xfId="0" applyFont="1" applyFill="1" applyBorder="1" applyAlignment="1">
      <alignment vertical="center" wrapText="1"/>
    </xf>
    <xf numFmtId="0" fontId="0" fillId="20" borderId="18" xfId="0" applyFill="1" applyBorder="1" applyAlignment="1">
      <alignment horizontal="center" vertical="center"/>
    </xf>
    <xf numFmtId="172" fontId="0" fillId="20" borderId="19" xfId="0" applyNumberForma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left" vertical="center" wrapText="1"/>
    </xf>
    <xf numFmtId="0" fontId="5" fillId="20" borderId="25" xfId="0" applyFont="1" applyFill="1" applyBorder="1" applyAlignment="1">
      <alignment vertical="center" wrapText="1"/>
    </xf>
    <xf numFmtId="0" fontId="2" fillId="23" borderId="21" xfId="0" applyFont="1" applyFill="1" applyBorder="1" applyAlignment="1">
      <alignment horizontal="center" vertical="center"/>
    </xf>
    <xf numFmtId="172" fontId="2" fillId="23" borderId="22" xfId="0" applyNumberFormat="1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left" vertical="center" wrapText="1"/>
    </xf>
    <xf numFmtId="0" fontId="2" fillId="23" borderId="24" xfId="0" applyFont="1" applyFill="1" applyBorder="1" applyAlignment="1">
      <alignment vertical="center" wrapText="1"/>
    </xf>
    <xf numFmtId="0" fontId="0" fillId="8" borderId="18" xfId="0" applyFill="1" applyBorder="1" applyAlignment="1">
      <alignment horizontal="center" vertical="center"/>
    </xf>
    <xf numFmtId="172" fontId="0" fillId="8" borderId="19" xfId="0" applyNumberForma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left" vertical="center" wrapText="1"/>
    </xf>
    <xf numFmtId="0" fontId="5" fillId="8" borderId="25" xfId="0" applyFont="1" applyFill="1" applyBorder="1" applyAlignment="1">
      <alignment vertical="center" wrapText="1"/>
    </xf>
    <xf numFmtId="0" fontId="2" fillId="25" borderId="21" xfId="0" applyFont="1" applyFill="1" applyBorder="1" applyAlignment="1">
      <alignment horizontal="center" vertical="center"/>
    </xf>
    <xf numFmtId="172" fontId="2" fillId="25" borderId="22" xfId="0" applyNumberFormat="1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3" fontId="3" fillId="11" borderId="25" xfId="0" applyNumberFormat="1" applyFont="1" applyFill="1" applyBorder="1" applyAlignment="1">
      <alignment horizontal="center" vertical="center" wrapText="1"/>
    </xf>
    <xf numFmtId="173" fontId="3" fillId="15" borderId="24" xfId="0" applyNumberFormat="1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173" fontId="3" fillId="20" borderId="25" xfId="0" applyNumberFormat="1" applyFont="1" applyFill="1" applyBorder="1" applyAlignment="1">
      <alignment horizontal="center" vertical="center" wrapText="1"/>
    </xf>
    <xf numFmtId="173" fontId="3" fillId="25" borderId="24" xfId="0" applyNumberFormat="1" applyFont="1" applyFill="1" applyBorder="1" applyAlignment="1">
      <alignment horizontal="center" vertical="center" wrapText="1"/>
    </xf>
    <xf numFmtId="173" fontId="3" fillId="8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3" fontId="14" fillId="24" borderId="24" xfId="0" applyNumberFormat="1" applyFont="1" applyFill="1" applyBorder="1" applyAlignment="1">
      <alignment horizontal="center" vertical="center" wrapText="1"/>
    </xf>
    <xf numFmtId="173" fontId="14" fillId="21" borderId="25" xfId="0" applyNumberFormat="1" applyFont="1" applyFill="1" applyBorder="1" applyAlignment="1">
      <alignment horizontal="center" vertical="center" wrapText="1"/>
    </xf>
    <xf numFmtId="173" fontId="14" fillId="21" borderId="10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6" fillId="20" borderId="10" xfId="0" applyNumberFormat="1" applyFont="1" applyFill="1" applyBorder="1" applyAlignment="1">
      <alignment horizontal="center" vertical="center" wrapText="1"/>
    </xf>
    <xf numFmtId="1" fontId="6" fillId="20" borderId="10" xfId="0" applyNumberFormat="1" applyFont="1" applyFill="1" applyBorder="1" applyAlignment="1">
      <alignment horizontal="center" vertical="center"/>
    </xf>
    <xf numFmtId="1" fontId="5" fillId="20" borderId="10" xfId="0" applyNumberFormat="1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 vertical="center"/>
    </xf>
    <xf numFmtId="172" fontId="0" fillId="15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1" borderId="10" xfId="0" applyFont="1" applyFill="1" applyBorder="1" applyAlignment="1">
      <alignment horizontal="center" vertical="center" wrapText="1"/>
    </xf>
    <xf numFmtId="173" fontId="3" fillId="23" borderId="2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" fontId="2" fillId="24" borderId="32" xfId="0" applyNumberFormat="1" applyFont="1" applyFill="1" applyBorder="1" applyAlignment="1">
      <alignment horizontal="center" vertical="center" wrapText="1"/>
    </xf>
    <xf numFmtId="0" fontId="0" fillId="21" borderId="33" xfId="0" applyFont="1" applyFill="1" applyBorder="1" applyAlignment="1">
      <alignment horizontal="center" vertical="center" wrapText="1"/>
    </xf>
    <xf numFmtId="1" fontId="12" fillId="24" borderId="34" xfId="0" applyNumberFormat="1" applyFont="1" applyFill="1" applyBorder="1" applyAlignment="1">
      <alignment horizontal="center" vertical="center" wrapText="1"/>
    </xf>
    <xf numFmtId="1" fontId="11" fillId="21" borderId="35" xfId="0" applyNumberFormat="1" applyFont="1" applyFill="1" applyBorder="1" applyAlignment="1">
      <alignment horizontal="center" vertical="center" wrapText="1"/>
    </xf>
    <xf numFmtId="0" fontId="0" fillId="21" borderId="36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1" fontId="2" fillId="15" borderId="32" xfId="0" applyNumberFormat="1" applyFont="1" applyFill="1" applyBorder="1" applyAlignment="1">
      <alignment horizontal="center" vertical="center"/>
    </xf>
    <xf numFmtId="1" fontId="12" fillId="15" borderId="34" xfId="0" applyNumberFormat="1" applyFont="1" applyFill="1" applyBorder="1" applyAlignment="1">
      <alignment horizontal="center" vertical="center" wrapText="1"/>
    </xf>
    <xf numFmtId="0" fontId="0" fillId="11" borderId="33" xfId="0" applyFont="1" applyFill="1" applyBorder="1" applyAlignment="1">
      <alignment horizontal="center" vertical="center" wrapText="1"/>
    </xf>
    <xf numFmtId="1" fontId="11" fillId="11" borderId="37" xfId="0" applyNumberFormat="1" applyFont="1" applyFill="1" applyBorder="1" applyAlignment="1">
      <alignment horizontal="center" vertical="center" wrapText="1"/>
    </xf>
    <xf numFmtId="1" fontId="11" fillId="11" borderId="10" xfId="0" applyNumberFormat="1" applyFont="1" applyFill="1" applyBorder="1" applyAlignment="1">
      <alignment horizontal="center" vertical="center" wrapText="1"/>
    </xf>
    <xf numFmtId="1" fontId="2" fillId="23" borderId="32" xfId="0" applyNumberFormat="1" applyFont="1" applyFill="1" applyBorder="1" applyAlignment="1">
      <alignment horizontal="center" vertical="center" wrapText="1"/>
    </xf>
    <xf numFmtId="1" fontId="12" fillId="23" borderId="34" xfId="0" applyNumberFormat="1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1" fontId="11" fillId="20" borderId="37" xfId="0" applyNumberFormat="1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  <xf numFmtId="1" fontId="11" fillId="20" borderId="27" xfId="0" applyNumberFormat="1" applyFont="1" applyFill="1" applyBorder="1" applyAlignment="1">
      <alignment horizontal="center" vertical="center" wrapText="1"/>
    </xf>
    <xf numFmtId="1" fontId="2" fillId="25" borderId="32" xfId="0" applyNumberFormat="1" applyFont="1" applyFill="1" applyBorder="1" applyAlignment="1">
      <alignment horizontal="center" vertical="center" wrapText="1"/>
    </xf>
    <xf numFmtId="1" fontId="12" fillId="25" borderId="34" xfId="0" applyNumberFormat="1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1" fontId="11" fillId="8" borderId="37" xfId="0" applyNumberFormat="1" applyFont="1" applyFill="1" applyBorder="1" applyAlignment="1">
      <alignment horizontal="center" vertical="center" wrapText="1"/>
    </xf>
    <xf numFmtId="1" fontId="5" fillId="8" borderId="36" xfId="0" applyNumberFormat="1" applyFont="1" applyFill="1" applyBorder="1" applyAlignment="1">
      <alignment horizontal="center" vertical="center" wrapText="1"/>
    </xf>
    <xf numFmtId="1" fontId="11" fillId="8" borderId="27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4" fontId="0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11" borderId="10" xfId="0" applyFont="1" applyFill="1" applyBorder="1" applyAlignment="1">
      <alignment vertical="center" wrapText="1"/>
    </xf>
    <xf numFmtId="0" fontId="19" fillId="11" borderId="25" xfId="0" applyFont="1" applyFill="1" applyBorder="1" applyAlignment="1">
      <alignment vertical="center" wrapText="1"/>
    </xf>
    <xf numFmtId="0" fontId="5" fillId="21" borderId="25" xfId="0" applyFont="1" applyFill="1" applyBorder="1" applyAlignment="1">
      <alignment vertical="center" wrapText="1"/>
    </xf>
    <xf numFmtId="0" fontId="5" fillId="21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20" borderId="38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22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172" fontId="5" fillId="0" borderId="3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172" fontId="26" fillId="0" borderId="38" xfId="0" applyNumberFormat="1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center" vertical="center"/>
    </xf>
    <xf numFmtId="172" fontId="22" fillId="0" borderId="3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172" fontId="5" fillId="0" borderId="38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173" fontId="11" fillId="0" borderId="44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172" fontId="5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vertical="center" wrapText="1"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30" fillId="0" borderId="0" xfId="49" applyFont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54" applyFont="1" applyBorder="1" applyAlignment="1">
      <alignment/>
      <protection/>
    </xf>
    <xf numFmtId="0" fontId="17" fillId="0" borderId="0" xfId="0" applyFont="1" applyBorder="1" applyAlignment="1">
      <alignment horizontal="center" vertical="center"/>
    </xf>
    <xf numFmtId="0" fontId="29" fillId="0" borderId="47" xfId="55" applyFont="1" applyBorder="1" applyAlignment="1">
      <alignment horizontal="center" vertical="top" wrapText="1"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54" applyFont="1" applyAlignment="1">
      <alignment/>
      <protection/>
    </xf>
    <xf numFmtId="0" fontId="6" fillId="0" borderId="0" xfId="54" applyFont="1" applyAlignment="1">
      <alignment horizontal="center"/>
      <protection/>
    </xf>
    <xf numFmtId="0" fontId="6" fillId="0" borderId="48" xfId="54" applyFont="1" applyBorder="1" applyAlignment="1">
      <alignment horizontal="center"/>
      <protection/>
    </xf>
    <xf numFmtId="0" fontId="18" fillId="0" borderId="26" xfId="0" applyFont="1" applyBorder="1" applyAlignment="1">
      <alignment horizontal="right" vertical="center"/>
    </xf>
    <xf numFmtId="0" fontId="6" fillId="8" borderId="43" xfId="0" applyFont="1" applyFill="1" applyBorder="1" applyAlignment="1">
      <alignment horizontal="center" vertical="center"/>
    </xf>
    <xf numFmtId="172" fontId="6" fillId="8" borderId="38" xfId="0" applyNumberFormat="1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left" vertical="center" wrapText="1"/>
    </xf>
    <xf numFmtId="0" fontId="6" fillId="8" borderId="38" xfId="0" applyFont="1" applyFill="1" applyBorder="1" applyAlignment="1">
      <alignment vertical="center" wrapText="1"/>
    </xf>
    <xf numFmtId="173" fontId="12" fillId="8" borderId="38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1" fontId="6" fillId="10" borderId="44" xfId="0" applyNumberFormat="1" applyFont="1" applyFill="1" applyBorder="1" applyAlignment="1">
      <alignment horizontal="center" vertical="center" wrapText="1"/>
    </xf>
    <xf numFmtId="0" fontId="33" fillId="19" borderId="21" xfId="0" applyFont="1" applyFill="1" applyBorder="1" applyAlignment="1">
      <alignment horizontal="center" vertical="center"/>
    </xf>
    <xf numFmtId="172" fontId="33" fillId="19" borderId="22" xfId="0" applyNumberFormat="1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vertical="center" wrapText="1"/>
    </xf>
    <xf numFmtId="0" fontId="33" fillId="16" borderId="21" xfId="0" applyFont="1" applyFill="1" applyBorder="1" applyAlignment="1">
      <alignment horizontal="center" vertical="center"/>
    </xf>
    <xf numFmtId="172" fontId="33" fillId="16" borderId="22" xfId="0" applyNumberFormat="1" applyFont="1" applyFill="1" applyBorder="1" applyAlignment="1">
      <alignment horizontal="center" vertical="center"/>
    </xf>
    <xf numFmtId="0" fontId="33" fillId="16" borderId="23" xfId="0" applyFont="1" applyFill="1" applyBorder="1" applyAlignment="1">
      <alignment horizontal="left" vertical="center" wrapText="1"/>
    </xf>
    <xf numFmtId="0" fontId="33" fillId="16" borderId="24" xfId="0" applyFont="1" applyFill="1" applyBorder="1" applyAlignment="1">
      <alignment horizontal="left" vertical="center" wrapText="1"/>
    </xf>
    <xf numFmtId="173" fontId="37" fillId="16" borderId="24" xfId="0" applyNumberFormat="1" applyFont="1" applyFill="1" applyBorder="1" applyAlignment="1">
      <alignment horizontal="center" vertical="center" wrapText="1"/>
    </xf>
    <xf numFmtId="1" fontId="33" fillId="16" borderId="34" xfId="0" applyNumberFormat="1" applyFont="1" applyFill="1" applyBorder="1" applyAlignment="1">
      <alignment horizontal="center" vertical="center" wrapText="1"/>
    </xf>
    <xf numFmtId="0" fontId="33" fillId="21" borderId="21" xfId="0" applyFont="1" applyFill="1" applyBorder="1" applyAlignment="1">
      <alignment horizontal="center" vertical="center"/>
    </xf>
    <xf numFmtId="172" fontId="33" fillId="21" borderId="22" xfId="0" applyNumberFormat="1" applyFont="1" applyFill="1" applyBorder="1" applyAlignment="1">
      <alignment horizontal="center" vertical="center"/>
    </xf>
    <xf numFmtId="0" fontId="33" fillId="21" borderId="23" xfId="0" applyFont="1" applyFill="1" applyBorder="1" applyAlignment="1">
      <alignment horizontal="left" vertical="center" wrapText="1"/>
    </xf>
    <xf numFmtId="0" fontId="33" fillId="21" borderId="24" xfId="0" applyFont="1" applyFill="1" applyBorder="1" applyAlignment="1">
      <alignment vertical="center" wrapText="1"/>
    </xf>
    <xf numFmtId="173" fontId="34" fillId="21" borderId="24" xfId="0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 applyProtection="1">
      <alignment horizontal="left" vertical="center" wrapText="1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left" vertical="center" wrapText="1"/>
    </xf>
    <xf numFmtId="0" fontId="29" fillId="0" borderId="38" xfId="54" applyFont="1" applyBorder="1" applyAlignment="1">
      <alignment vertical="top" wrapText="1"/>
      <protection/>
    </xf>
    <xf numFmtId="0" fontId="0" fillId="0" borderId="0" xfId="54" applyFont="1" applyAlignment="1">
      <alignment horizontal="center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0" xfId="54" applyFont="1" applyAlignment="1">
      <alignment vertical="center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5" fillId="0" borderId="50" xfId="54" applyFont="1" applyBorder="1" applyAlignment="1">
      <alignment vertical="center" wrapText="1"/>
      <protection/>
    </xf>
    <xf numFmtId="0" fontId="0" fillId="0" borderId="50" xfId="54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64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29" fillId="26" borderId="38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9" fillId="0" borderId="38" xfId="54" applyFont="1" applyBorder="1" applyAlignment="1">
      <alignment horizontal="center" vertical="top" wrapText="1"/>
      <protection/>
    </xf>
    <xf numFmtId="0" fontId="29" fillId="0" borderId="38" xfId="54" applyFont="1" applyBorder="1" applyAlignment="1">
      <alignment horizontal="center" vertical="center" wrapText="1"/>
      <protection/>
    </xf>
    <xf numFmtId="0" fontId="42" fillId="0" borderId="0" xfId="55" applyFont="1">
      <alignment/>
      <protection/>
    </xf>
    <xf numFmtId="0" fontId="42" fillId="0" borderId="51" xfId="55" applyFont="1" applyBorder="1" applyAlignment="1">
      <alignment vertical="center"/>
      <protection/>
    </xf>
    <xf numFmtId="0" fontId="42" fillId="0" borderId="52" xfId="55" applyFont="1" applyBorder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2" fillId="0" borderId="53" xfId="55" applyFont="1" applyBorder="1" applyAlignment="1">
      <alignment vertical="center"/>
      <protection/>
    </xf>
    <xf numFmtId="0" fontId="42" fillId="0" borderId="51" xfId="55" applyFont="1" applyBorder="1">
      <alignment/>
      <protection/>
    </xf>
    <xf numFmtId="0" fontId="42" fillId="0" borderId="0" xfId="55" applyFont="1" applyBorder="1">
      <alignment/>
      <protection/>
    </xf>
    <xf numFmtId="0" fontId="42" fillId="0" borderId="52" xfId="55" applyFont="1" applyBorder="1">
      <alignment/>
      <protection/>
    </xf>
    <xf numFmtId="0" fontId="42" fillId="0" borderId="0" xfId="55" applyFont="1" applyBorder="1" applyAlignment="1">
      <alignment vertical="center"/>
      <protection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54" applyFont="1" applyAlignment="1">
      <alignment vertical="center"/>
      <protection/>
    </xf>
    <xf numFmtId="0" fontId="6" fillId="10" borderId="54" xfId="55" applyFont="1" applyFill="1" applyBorder="1" applyAlignment="1">
      <alignment vertical="center"/>
      <protection/>
    </xf>
    <xf numFmtId="0" fontId="0" fillId="0" borderId="49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64" fillId="0" borderId="49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1" fontId="6" fillId="10" borderId="38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0" fontId="42" fillId="0" borderId="38" xfId="0" applyFont="1" applyBorder="1" applyAlignment="1">
      <alignment horizontal="center" vertical="center"/>
    </xf>
    <xf numFmtId="0" fontId="23" fillId="0" borderId="55" xfId="54" applyFont="1" applyBorder="1" applyAlignment="1">
      <alignment horizontal="center" vertical="center" wrapText="1"/>
      <protection/>
    </xf>
    <xf numFmtId="0" fontId="29" fillId="0" borderId="47" xfId="54" applyFont="1" applyBorder="1" applyAlignment="1">
      <alignment vertical="center" wrapText="1"/>
      <protection/>
    </xf>
    <xf numFmtId="0" fontId="40" fillId="0" borderId="51" xfId="55" applyFont="1" applyBorder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0" fontId="25" fillId="10" borderId="56" xfId="55" applyFont="1" applyFill="1" applyBorder="1" applyAlignment="1">
      <alignment horizontal="center" vertical="center"/>
      <protection/>
    </xf>
    <xf numFmtId="0" fontId="25" fillId="10" borderId="31" xfId="55" applyFont="1" applyFill="1" applyBorder="1" applyAlignment="1">
      <alignment horizontal="center" vertical="center"/>
      <protection/>
    </xf>
    <xf numFmtId="0" fontId="25" fillId="10" borderId="54" xfId="55" applyFont="1" applyFill="1" applyBorder="1" applyAlignment="1">
      <alignment vertical="center"/>
      <protection/>
    </xf>
    <xf numFmtId="0" fontId="42" fillId="0" borderId="0" xfId="55" applyFont="1" applyAlignment="1">
      <alignment horizontal="center"/>
      <protection/>
    </xf>
    <xf numFmtId="0" fontId="41" fillId="10" borderId="38" xfId="39" applyFont="1" applyFill="1" applyBorder="1" applyAlignment="1">
      <alignment horizontal="center" vertical="center"/>
    </xf>
    <xf numFmtId="0" fontId="42" fillId="0" borderId="0" xfId="55" applyFont="1" applyAlignment="1">
      <alignment horizontal="left" vertical="center"/>
      <protection/>
    </xf>
    <xf numFmtId="0" fontId="6" fillId="10" borderId="56" xfId="55" applyFont="1" applyFill="1" applyBorder="1" applyAlignment="1">
      <alignment horizontal="center" vertical="center"/>
      <protection/>
    </xf>
    <xf numFmtId="0" fontId="6" fillId="10" borderId="31" xfId="55" applyFont="1" applyFill="1" applyBorder="1" applyAlignment="1">
      <alignment horizontal="center" vertical="center"/>
      <protection/>
    </xf>
    <xf numFmtId="0" fontId="6" fillId="10" borderId="57" xfId="54" applyFont="1" applyFill="1" applyBorder="1" applyAlignment="1">
      <alignment horizontal="center" vertical="center"/>
      <protection/>
    </xf>
    <xf numFmtId="0" fontId="0" fillId="0" borderId="58" xfId="0" applyFont="1" applyBorder="1" applyAlignment="1">
      <alignment vertical="center" wrapText="1"/>
    </xf>
    <xf numFmtId="0" fontId="29" fillId="0" borderId="43" xfId="55" applyFont="1" applyBorder="1" applyAlignment="1">
      <alignment vertical="center"/>
      <protection/>
    </xf>
    <xf numFmtId="0" fontId="29" fillId="0" borderId="45" xfId="55" applyFont="1" applyBorder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39" fillId="20" borderId="59" xfId="45" applyFont="1" applyFill="1" applyBorder="1" applyAlignment="1">
      <alignment horizontal="center"/>
    </xf>
    <xf numFmtId="0" fontId="29" fillId="0" borderId="47" xfId="54" applyFont="1" applyBorder="1" applyAlignment="1">
      <alignment horizontal="center" vertical="center" wrapText="1"/>
      <protection/>
    </xf>
    <xf numFmtId="0" fontId="29" fillId="0" borderId="60" xfId="54" applyFont="1" applyBorder="1" applyAlignment="1">
      <alignment horizontal="center" vertical="center" wrapText="1"/>
      <protection/>
    </xf>
    <xf numFmtId="0" fontId="29" fillId="0" borderId="61" xfId="54" applyFont="1" applyBorder="1" applyAlignment="1">
      <alignment horizontal="center" vertical="center" wrapText="1"/>
      <protection/>
    </xf>
    <xf numFmtId="0" fontId="6" fillId="10" borderId="45" xfId="54" applyFont="1" applyFill="1" applyBorder="1" applyAlignment="1">
      <alignment vertical="center" wrapText="1"/>
      <protection/>
    </xf>
    <xf numFmtId="0" fontId="6" fillId="10" borderId="62" xfId="54" applyFont="1" applyFill="1" applyBorder="1" applyAlignment="1">
      <alignment vertical="center"/>
      <protection/>
    </xf>
    <xf numFmtId="0" fontId="23" fillId="0" borderId="43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vertical="center"/>
      <protection/>
    </xf>
    <xf numFmtId="0" fontId="23" fillId="0" borderId="63" xfId="54" applyFont="1" applyBorder="1" applyAlignment="1">
      <alignment horizontal="center" vertical="center" wrapText="1"/>
      <protection/>
    </xf>
    <xf numFmtId="0" fontId="0" fillId="0" borderId="0" xfId="54" applyFont="1" applyAlignment="1">
      <alignment wrapText="1"/>
      <protection/>
    </xf>
    <xf numFmtId="0" fontId="0" fillId="0" borderId="0" xfId="54" applyFont="1" applyAlignment="1">
      <alignment horizontal="center" wrapText="1"/>
      <protection/>
    </xf>
    <xf numFmtId="0" fontId="6" fillId="0" borderId="0" xfId="54" applyFont="1" applyBorder="1" applyAlignment="1">
      <alignment vertical="center"/>
      <protection/>
    </xf>
    <xf numFmtId="0" fontId="0" fillId="0" borderId="0" xfId="54" applyFont="1" applyAlignment="1">
      <alignment vertical="center" wrapText="1"/>
      <protection/>
    </xf>
    <xf numFmtId="0" fontId="6" fillId="0" borderId="0" xfId="54" applyFont="1" applyBorder="1" applyAlignment="1">
      <alignment horizontal="center" vertical="center"/>
      <protection/>
    </xf>
    <xf numFmtId="0" fontId="23" fillId="0" borderId="64" xfId="54" applyFont="1" applyBorder="1" applyAlignment="1">
      <alignment vertical="center" wrapText="1"/>
      <protection/>
    </xf>
    <xf numFmtId="0" fontId="0" fillId="0" borderId="65" xfId="54" applyFont="1" applyBorder="1" applyAlignment="1">
      <alignment horizontal="center" vertical="center" wrapText="1"/>
      <protection/>
    </xf>
    <xf numFmtId="0" fontId="29" fillId="0" borderId="43" xfId="54" applyFont="1" applyBorder="1" applyAlignment="1">
      <alignment horizontal="left" vertical="center" wrapText="1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left" vertical="center" wrapText="1"/>
      <protection/>
    </xf>
    <xf numFmtId="0" fontId="29" fillId="0" borderId="45" xfId="54" applyFont="1" applyBorder="1" applyAlignment="1">
      <alignment horizontal="left" vertical="center" wrapText="1"/>
      <protection/>
    </xf>
    <xf numFmtId="0" fontId="0" fillId="0" borderId="62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left" vertical="center" wrapText="1"/>
      <protection/>
    </xf>
    <xf numFmtId="0" fontId="0" fillId="0" borderId="43" xfId="54" applyFont="1" applyBorder="1" applyAlignment="1">
      <alignment horizontal="left" vertical="center" wrapText="1"/>
      <protection/>
    </xf>
    <xf numFmtId="0" fontId="29" fillId="0" borderId="45" xfId="54" applyFont="1" applyBorder="1" applyAlignment="1">
      <alignment vertical="center" wrapText="1"/>
      <protection/>
    </xf>
    <xf numFmtId="0" fontId="6" fillId="10" borderId="66" xfId="54" applyFont="1" applyFill="1" applyBorder="1" applyAlignment="1">
      <alignment horizontal="center" vertical="center" wrapText="1"/>
      <protection/>
    </xf>
    <xf numFmtId="0" fontId="41" fillId="20" borderId="67" xfId="54" applyFont="1" applyFill="1" applyBorder="1" applyAlignment="1">
      <alignment vertical="center" wrapText="1"/>
      <protection/>
    </xf>
    <xf numFmtId="0" fontId="0" fillId="0" borderId="0" xfId="54" applyFont="1" applyBorder="1" applyAlignment="1">
      <alignment vertical="center"/>
      <protection/>
    </xf>
    <xf numFmtId="0" fontId="0" fillId="0" borderId="45" xfId="54" applyFont="1" applyBorder="1" applyAlignment="1">
      <alignment vertical="center"/>
      <protection/>
    </xf>
    <xf numFmtId="0" fontId="0" fillId="0" borderId="52" xfId="54" applyFont="1" applyBorder="1" applyAlignment="1">
      <alignment vertical="center"/>
      <protection/>
    </xf>
    <xf numFmtId="0" fontId="41" fillId="10" borderId="68" xfId="54" applyFont="1" applyFill="1" applyBorder="1" applyAlignment="1">
      <alignment horizontal="center" vertical="center"/>
      <protection/>
    </xf>
    <xf numFmtId="0" fontId="0" fillId="0" borderId="69" xfId="54" applyFont="1" applyBorder="1" applyAlignment="1">
      <alignment vertical="center"/>
      <protection/>
    </xf>
    <xf numFmtId="0" fontId="0" fillId="0" borderId="53" xfId="54" applyFont="1" applyBorder="1" applyAlignment="1">
      <alignment vertical="center"/>
      <protection/>
    </xf>
    <xf numFmtId="0" fontId="0" fillId="10" borderId="58" xfId="0" applyFill="1" applyBorder="1" applyAlignment="1">
      <alignment horizontal="center" vertical="center"/>
    </xf>
    <xf numFmtId="172" fontId="0" fillId="0" borderId="53" xfId="0" applyNumberFormat="1" applyFont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172" fontId="0" fillId="0" borderId="71" xfId="0" applyNumberFormat="1" applyFont="1" applyBorder="1" applyAlignment="1">
      <alignment horizontal="center" vertical="center"/>
    </xf>
    <xf numFmtId="173" fontId="37" fillId="19" borderId="24" xfId="0" applyNumberFormat="1" applyFont="1" applyFill="1" applyBorder="1" applyAlignment="1">
      <alignment horizontal="center" vertical="center" wrapText="1"/>
    </xf>
    <xf numFmtId="1" fontId="33" fillId="19" borderId="34" xfId="0" applyNumberFormat="1" applyFont="1" applyFill="1" applyBorder="1" applyAlignment="1">
      <alignment horizontal="center" vertical="center" wrapText="1"/>
    </xf>
    <xf numFmtId="0" fontId="33" fillId="27" borderId="21" xfId="0" applyFont="1" applyFill="1" applyBorder="1" applyAlignment="1">
      <alignment horizontal="center" vertical="center"/>
    </xf>
    <xf numFmtId="172" fontId="33" fillId="27" borderId="22" xfId="0" applyNumberFormat="1" applyFont="1" applyFill="1" applyBorder="1" applyAlignment="1">
      <alignment horizontal="center" vertical="center"/>
    </xf>
    <xf numFmtId="0" fontId="36" fillId="27" borderId="23" xfId="0" applyFont="1" applyFill="1" applyBorder="1" applyAlignment="1">
      <alignment horizontal="left" vertical="center" wrapText="1"/>
    </xf>
    <xf numFmtId="0" fontId="33" fillId="27" borderId="24" xfId="0" applyFont="1" applyFill="1" applyBorder="1" applyAlignment="1">
      <alignment vertical="center" wrapText="1"/>
    </xf>
    <xf numFmtId="173" fontId="37" fillId="27" borderId="24" xfId="0" applyNumberFormat="1" applyFont="1" applyFill="1" applyBorder="1" applyAlignment="1">
      <alignment horizontal="center" vertical="center" wrapText="1"/>
    </xf>
    <xf numFmtId="1" fontId="33" fillId="27" borderId="34" xfId="0" applyNumberFormat="1" applyFont="1" applyFill="1" applyBorder="1" applyAlignment="1">
      <alignment horizontal="center" vertical="center" wrapText="1"/>
    </xf>
    <xf numFmtId="0" fontId="36" fillId="19" borderId="23" xfId="0" applyFont="1" applyFill="1" applyBorder="1" applyAlignment="1">
      <alignment horizontal="left" vertical="center" wrapText="1"/>
    </xf>
    <xf numFmtId="0" fontId="2" fillId="0" borderId="0" xfId="54" applyFont="1">
      <alignment/>
      <protection/>
    </xf>
    <xf numFmtId="0" fontId="25" fillId="10" borderId="47" xfId="54" applyFont="1" applyFill="1" applyBorder="1" applyAlignment="1">
      <alignment vertical="center" wrapText="1"/>
      <protection/>
    </xf>
    <xf numFmtId="0" fontId="25" fillId="10" borderId="66" xfId="54" applyFont="1" applyFill="1" applyBorder="1" applyAlignment="1">
      <alignment horizontal="center" vertical="center" wrapText="1"/>
      <protection/>
    </xf>
    <xf numFmtId="0" fontId="25" fillId="10" borderId="66" xfId="54" applyFont="1" applyFill="1" applyBorder="1" applyAlignment="1">
      <alignment vertical="center" wrapText="1"/>
      <protection/>
    </xf>
    <xf numFmtId="0" fontId="25" fillId="10" borderId="48" xfId="54" applyFont="1" applyFill="1" applyBorder="1" applyAlignment="1">
      <alignment vertical="top" wrapText="1"/>
      <protection/>
    </xf>
    <xf numFmtId="9" fontId="41" fillId="10" borderId="38" xfId="52" applyFont="1" applyFill="1" applyBorder="1" applyAlignment="1" applyProtection="1">
      <alignment horizontal="center" vertical="center"/>
      <protection/>
    </xf>
    <xf numFmtId="0" fontId="0" fillId="0" borderId="68" xfId="54" applyFont="1" applyBorder="1" applyAlignment="1">
      <alignment vertical="center"/>
      <protection/>
    </xf>
    <xf numFmtId="0" fontId="0" fillId="0" borderId="72" xfId="54" applyFont="1" applyBorder="1" applyAlignment="1">
      <alignment vertical="center"/>
      <protection/>
    </xf>
    <xf numFmtId="0" fontId="0" fillId="0" borderId="73" xfId="54" applyFont="1" applyBorder="1" applyAlignment="1">
      <alignment vertical="center"/>
      <protection/>
    </xf>
    <xf numFmtId="0" fontId="0" fillId="0" borderId="74" xfId="54" applyFont="1" applyBorder="1" applyAlignment="1">
      <alignment vertical="center"/>
      <protection/>
    </xf>
    <xf numFmtId="0" fontId="0" fillId="0" borderId="51" xfId="54" applyFont="1" applyBorder="1" applyAlignment="1">
      <alignment vertical="center"/>
      <protection/>
    </xf>
    <xf numFmtId="0" fontId="5" fillId="10" borderId="43" xfId="54" applyFont="1" applyFill="1" applyBorder="1" applyAlignment="1">
      <alignment vertical="center"/>
      <protection/>
    </xf>
    <xf numFmtId="0" fontId="6" fillId="10" borderId="45" xfId="54" applyFont="1" applyFill="1" applyBorder="1" applyAlignment="1">
      <alignment vertical="center"/>
      <protection/>
    </xf>
    <xf numFmtId="1" fontId="6" fillId="10" borderId="46" xfId="54" applyNumberFormat="1" applyFont="1" applyFill="1" applyBorder="1" applyAlignment="1">
      <alignment vertical="center"/>
      <protection/>
    </xf>
    <xf numFmtId="0" fontId="6" fillId="0" borderId="48" xfId="54" applyFont="1" applyBorder="1" applyAlignment="1">
      <alignment vertical="center"/>
      <protection/>
    </xf>
    <xf numFmtId="0" fontId="6" fillId="0" borderId="53" xfId="54" applyFont="1" applyBorder="1" applyAlignment="1">
      <alignment vertical="center"/>
      <protection/>
    </xf>
    <xf numFmtId="0" fontId="41" fillId="20" borderId="75" xfId="54" applyFont="1" applyFill="1" applyBorder="1" applyAlignment="1">
      <alignment vertical="center" wrapText="1"/>
      <protection/>
    </xf>
    <xf numFmtId="0" fontId="41" fillId="20" borderId="76" xfId="54" applyFont="1" applyFill="1" applyBorder="1" applyAlignment="1">
      <alignment horizontal="center" vertical="center" wrapText="1"/>
      <protection/>
    </xf>
    <xf numFmtId="0" fontId="25" fillId="10" borderId="77" xfId="54" applyFont="1" applyFill="1" applyBorder="1" applyAlignment="1">
      <alignment vertical="center" wrapText="1"/>
      <protection/>
    </xf>
    <xf numFmtId="0" fontId="6" fillId="10" borderId="78" xfId="54" applyFont="1" applyFill="1" applyBorder="1" applyAlignment="1">
      <alignment horizontal="center" vertical="center" wrapText="1"/>
      <protection/>
    </xf>
    <xf numFmtId="0" fontId="29" fillId="0" borderId="65" xfId="55" applyFont="1" applyBorder="1" applyAlignment="1">
      <alignment horizontal="center" vertical="top" wrapText="1"/>
      <protection/>
    </xf>
    <xf numFmtId="0" fontId="41" fillId="10" borderId="43" xfId="39" applyFont="1" applyFill="1" applyBorder="1" applyAlignment="1">
      <alignment vertical="center" wrapText="1"/>
    </xf>
    <xf numFmtId="0" fontId="41" fillId="10" borderId="79" xfId="39" applyFont="1" applyFill="1" applyBorder="1" applyAlignment="1">
      <alignment horizontal="center" vertical="center"/>
    </xf>
    <xf numFmtId="0" fontId="42" fillId="0" borderId="0" xfId="55" applyFont="1" applyBorder="1" applyAlignment="1">
      <alignment horizontal="center"/>
      <protection/>
    </xf>
    <xf numFmtId="0" fontId="41" fillId="10" borderId="80" xfId="39" applyFont="1" applyFill="1" applyBorder="1" applyAlignment="1">
      <alignment horizontal="left" vertical="center" wrapText="1"/>
    </xf>
    <xf numFmtId="0" fontId="41" fillId="10" borderId="1" xfId="39" applyFont="1" applyFill="1" applyBorder="1" applyAlignment="1">
      <alignment horizontal="left" vertical="center"/>
    </xf>
    <xf numFmtId="0" fontId="42" fillId="0" borderId="81" xfId="55" applyFont="1" applyBorder="1" applyAlignment="1">
      <alignment horizontal="center"/>
      <protection/>
    </xf>
    <xf numFmtId="0" fontId="41" fillId="10" borderId="82" xfId="39" applyFont="1" applyFill="1" applyBorder="1" applyAlignment="1">
      <alignment horizontal="center" vertical="center"/>
    </xf>
    <xf numFmtId="0" fontId="29" fillId="0" borderId="47" xfId="55" applyFont="1" applyBorder="1" applyAlignment="1">
      <alignment horizontal="center" vertical="center" wrapText="1"/>
      <protection/>
    </xf>
    <xf numFmtId="0" fontId="0" fillId="0" borderId="47" xfId="55" applyFont="1" applyBorder="1" applyAlignment="1">
      <alignment horizontal="center" vertical="center" wrapText="1"/>
      <protection/>
    </xf>
    <xf numFmtId="0" fontId="43" fillId="0" borderId="81" xfId="55" applyFont="1" applyBorder="1" applyAlignment="1">
      <alignment horizontal="center" vertical="center"/>
      <protection/>
    </xf>
    <xf numFmtId="0" fontId="43" fillId="0" borderId="83" xfId="55" applyFont="1" applyBorder="1" applyAlignment="1">
      <alignment horizontal="center"/>
      <protection/>
    </xf>
    <xf numFmtId="0" fontId="42" fillId="0" borderId="84" xfId="55" applyFont="1" applyBorder="1" applyAlignment="1">
      <alignment vertical="center"/>
      <protection/>
    </xf>
    <xf numFmtId="0" fontId="0" fillId="0" borderId="72" xfId="55" applyFont="1" applyBorder="1" applyAlignment="1">
      <alignment vertical="center"/>
      <protection/>
    </xf>
    <xf numFmtId="0" fontId="42" fillId="0" borderId="72" xfId="55" applyFont="1" applyBorder="1" applyAlignment="1">
      <alignment vertical="center"/>
      <protection/>
    </xf>
    <xf numFmtId="0" fontId="42" fillId="0" borderId="85" xfId="55" applyFont="1" applyBorder="1" applyAlignment="1">
      <alignment vertical="center"/>
      <protection/>
    </xf>
    <xf numFmtId="0" fontId="42" fillId="0" borderId="86" xfId="55" applyFont="1" applyBorder="1" applyAlignment="1">
      <alignment vertical="center"/>
      <protection/>
    </xf>
    <xf numFmtId="0" fontId="42" fillId="0" borderId="87" xfId="55" applyFont="1" applyBorder="1" applyAlignment="1">
      <alignment vertical="center"/>
      <protection/>
    </xf>
    <xf numFmtId="0" fontId="43" fillId="20" borderId="64" xfId="54" applyFont="1" applyFill="1" applyBorder="1" applyAlignment="1">
      <alignment vertical="center" wrapText="1"/>
      <protection/>
    </xf>
    <xf numFmtId="0" fontId="43" fillId="20" borderId="88" xfId="54" applyFont="1" applyFill="1" applyBorder="1" applyAlignment="1">
      <alignment horizontal="center" vertical="center" wrapText="1"/>
      <protection/>
    </xf>
    <xf numFmtId="0" fontId="43" fillId="20" borderId="88" xfId="54" applyFont="1" applyFill="1" applyBorder="1" applyAlignment="1">
      <alignment vertical="center" wrapText="1"/>
      <protection/>
    </xf>
    <xf numFmtId="0" fontId="29" fillId="0" borderId="43" xfId="54" applyFont="1" applyBorder="1" applyAlignment="1">
      <alignment vertical="top" wrapText="1"/>
      <protection/>
    </xf>
    <xf numFmtId="0" fontId="25" fillId="10" borderId="89" xfId="54" applyFont="1" applyFill="1" applyBorder="1" applyAlignment="1">
      <alignment vertical="center" wrapText="1"/>
      <protection/>
    </xf>
    <xf numFmtId="0" fontId="6" fillId="10" borderId="0" xfId="54" applyFont="1" applyFill="1" applyBorder="1" applyAlignment="1">
      <alignment horizontal="center" vertical="center"/>
      <protection/>
    </xf>
    <xf numFmtId="0" fontId="6" fillId="10" borderId="0" xfId="54" applyFont="1" applyFill="1" applyBorder="1" applyAlignment="1">
      <alignment vertical="center"/>
      <protection/>
    </xf>
    <xf numFmtId="0" fontId="25" fillId="10" borderId="81" xfId="54" applyFont="1" applyFill="1" applyBorder="1" applyAlignment="1">
      <alignment horizontal="center" vertical="center" wrapText="1"/>
      <protection/>
    </xf>
    <xf numFmtId="0" fontId="0" fillId="0" borderId="53" xfId="54" applyFont="1" applyBorder="1">
      <alignment/>
      <protection/>
    </xf>
    <xf numFmtId="0" fontId="41" fillId="0" borderId="80" xfId="39" applyFont="1" applyFill="1" applyBorder="1" applyAlignment="1">
      <alignment wrapText="1"/>
    </xf>
    <xf numFmtId="0" fontId="41" fillId="10" borderId="1" xfId="39" applyFont="1" applyFill="1" applyBorder="1" applyAlignment="1">
      <alignment horizontal="center" vertical="center"/>
    </xf>
    <xf numFmtId="0" fontId="41" fillId="0" borderId="90" xfId="39" applyFont="1" applyFill="1" applyBorder="1" applyAlignment="1">
      <alignment vertical="center"/>
    </xf>
    <xf numFmtId="0" fontId="41" fillId="0" borderId="80" xfId="39" applyFont="1" applyFill="1" applyBorder="1" applyAlignment="1">
      <alignment vertical="center" wrapText="1"/>
    </xf>
    <xf numFmtId="0" fontId="41" fillId="0" borderId="80" xfId="39" applyFont="1" applyFill="1" applyBorder="1" applyAlignment="1">
      <alignment vertical="center"/>
    </xf>
    <xf numFmtId="0" fontId="40" fillId="0" borderId="52" xfId="55" applyFont="1" applyBorder="1" applyAlignment="1">
      <alignment vertical="center"/>
      <protection/>
    </xf>
    <xf numFmtId="0" fontId="41" fillId="20" borderId="80" xfId="39" applyFont="1" applyBorder="1" applyAlignment="1">
      <alignment vertical="center"/>
    </xf>
    <xf numFmtId="0" fontId="41" fillId="20" borderId="90" xfId="39" applyFont="1" applyBorder="1" applyAlignment="1">
      <alignment vertical="center"/>
    </xf>
    <xf numFmtId="0" fontId="43" fillId="20" borderId="64" xfId="0" applyFont="1" applyFill="1" applyBorder="1" applyAlignment="1">
      <alignment/>
    </xf>
    <xf numFmtId="0" fontId="43" fillId="20" borderId="88" xfId="0" applyFont="1" applyFill="1" applyBorder="1" applyAlignment="1">
      <alignment/>
    </xf>
    <xf numFmtId="0" fontId="43" fillId="20" borderId="83" xfId="0" applyFont="1" applyFill="1" applyBorder="1" applyAlignment="1">
      <alignment horizontal="center" vertical="center"/>
    </xf>
    <xf numFmtId="0" fontId="0" fillId="26" borderId="43" xfId="0" applyFont="1" applyFill="1" applyBorder="1" applyAlignment="1" applyProtection="1">
      <alignment horizontal="left" vertical="center"/>
      <protection/>
    </xf>
    <xf numFmtId="0" fontId="0" fillId="0" borderId="81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26" borderId="45" xfId="0" applyFont="1" applyFill="1" applyBorder="1" applyAlignment="1" applyProtection="1">
      <alignment horizontal="left" vertical="center"/>
      <protection/>
    </xf>
    <xf numFmtId="0" fontId="29" fillId="26" borderId="46" xfId="0" applyFont="1" applyFill="1" applyBorder="1" applyAlignment="1">
      <alignment/>
    </xf>
    <xf numFmtId="0" fontId="0" fillId="0" borderId="93" xfId="0" applyFont="1" applyBorder="1" applyAlignment="1">
      <alignment horizontal="center" vertical="center"/>
    </xf>
    <xf numFmtId="0" fontId="43" fillId="20" borderId="64" xfId="0" applyFont="1" applyFill="1" applyBorder="1" applyAlignment="1">
      <alignment vertical="center" wrapText="1"/>
    </xf>
    <xf numFmtId="0" fontId="43" fillId="20" borderId="88" xfId="0" applyFont="1" applyFill="1" applyBorder="1" applyAlignment="1">
      <alignment vertical="center" wrapText="1"/>
    </xf>
    <xf numFmtId="0" fontId="43" fillId="20" borderId="83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81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93" xfId="0" applyFont="1" applyBorder="1" applyAlignment="1">
      <alignment vertical="center" wrapText="1"/>
    </xf>
    <xf numFmtId="0" fontId="41" fillId="0" borderId="94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87" xfId="0" applyFont="1" applyBorder="1" applyAlignment="1">
      <alignment/>
    </xf>
    <xf numFmtId="0" fontId="0" fillId="0" borderId="95" xfId="0" applyFont="1" applyBorder="1" applyAlignment="1">
      <alignment/>
    </xf>
    <xf numFmtId="0" fontId="29" fillId="0" borderId="43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9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1" xfId="0" applyFont="1" applyBorder="1" applyAlignment="1">
      <alignment/>
    </xf>
    <xf numFmtId="0" fontId="64" fillId="0" borderId="96" xfId="0" applyFont="1" applyBorder="1" applyAlignment="1">
      <alignment/>
    </xf>
    <xf numFmtId="0" fontId="0" fillId="0" borderId="69" xfId="0" applyFont="1" applyBorder="1" applyAlignment="1">
      <alignment/>
    </xf>
    <xf numFmtId="0" fontId="43" fillId="0" borderId="51" xfId="0" applyFont="1" applyBorder="1" applyAlignment="1">
      <alignment vertical="center"/>
    </xf>
    <xf numFmtId="0" fontId="29" fillId="0" borderId="87" xfId="0" applyFont="1" applyBorder="1" applyAlignment="1">
      <alignment vertical="center"/>
    </xf>
    <xf numFmtId="0" fontId="29" fillId="0" borderId="51" xfId="0" applyFont="1" applyBorder="1" applyAlignment="1">
      <alignment vertical="center"/>
    </xf>
    <xf numFmtId="0" fontId="0" fillId="0" borderId="96" xfId="0" applyFont="1" applyBorder="1" applyAlignment="1">
      <alignment/>
    </xf>
    <xf numFmtId="0" fontId="64" fillId="20" borderId="43" xfId="0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5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3" xfId="0" applyFont="1" applyBorder="1" applyAlignment="1">
      <alignment/>
    </xf>
    <xf numFmtId="0" fontId="5" fillId="0" borderId="97" xfId="54" applyFont="1" applyBorder="1" applyAlignment="1">
      <alignment vertical="center" wrapText="1"/>
      <protection/>
    </xf>
    <xf numFmtId="0" fontId="0" fillId="0" borderId="97" xfId="54" applyFont="1" applyBorder="1" applyAlignment="1">
      <alignment vertical="center" wrapText="1"/>
      <protection/>
    </xf>
    <xf numFmtId="0" fontId="5" fillId="0" borderId="98" xfId="54" applyFont="1" applyBorder="1" applyAlignment="1">
      <alignment vertical="center" wrapText="1"/>
      <protection/>
    </xf>
    <xf numFmtId="0" fontId="0" fillId="0" borderId="51" xfId="54" applyFont="1" applyBorder="1">
      <alignment/>
      <protection/>
    </xf>
    <xf numFmtId="0" fontId="0" fillId="0" borderId="52" xfId="54" applyFont="1" applyBorder="1">
      <alignment/>
      <protection/>
    </xf>
    <xf numFmtId="0" fontId="30" fillId="0" borderId="51" xfId="49" applyFont="1" applyBorder="1" applyAlignment="1" applyProtection="1">
      <alignment/>
      <protection/>
    </xf>
    <xf numFmtId="0" fontId="0" fillId="0" borderId="58" xfId="54" applyFont="1" applyBorder="1">
      <alignment/>
      <protection/>
    </xf>
    <xf numFmtId="0" fontId="0" fillId="0" borderId="48" xfId="54" applyFont="1" applyBorder="1">
      <alignment/>
      <protection/>
    </xf>
    <xf numFmtId="0" fontId="23" fillId="0" borderId="65" xfId="54" applyFont="1" applyBorder="1" applyAlignment="1">
      <alignment vertical="center" wrapText="1"/>
      <protection/>
    </xf>
    <xf numFmtId="0" fontId="29" fillId="0" borderId="43" xfId="54" applyFont="1" applyBorder="1" applyAlignment="1">
      <alignment vertical="center" wrapText="1"/>
      <protection/>
    </xf>
    <xf numFmtId="0" fontId="25" fillId="10" borderId="43" xfId="54" applyFont="1" applyFill="1" applyBorder="1" applyAlignment="1">
      <alignment vertical="center" wrapText="1"/>
      <protection/>
    </xf>
    <xf numFmtId="0" fontId="0" fillId="0" borderId="53" xfId="54" applyFont="1" applyBorder="1" applyAlignment="1">
      <alignment horizontal="center"/>
      <protection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20" borderId="55" xfId="54" applyFont="1" applyFill="1" applyBorder="1" applyAlignment="1">
      <alignment horizontal="left" vertical="center" wrapText="1"/>
      <protection/>
    </xf>
    <xf numFmtId="0" fontId="5" fillId="20" borderId="56" xfId="54" applyFont="1" applyFill="1" applyBorder="1" applyAlignment="1">
      <alignment vertical="top" wrapText="1"/>
      <protection/>
    </xf>
    <xf numFmtId="0" fontId="41" fillId="20" borderId="55" xfId="45" applyFont="1" applyFill="1" applyBorder="1" applyAlignment="1">
      <alignment horizontal="center" vertical="center"/>
    </xf>
    <xf numFmtId="0" fontId="41" fillId="20" borderId="83" xfId="45" applyFont="1" applyFill="1" applyBorder="1" applyAlignment="1">
      <alignment horizontal="center" vertical="center" wrapText="1"/>
    </xf>
    <xf numFmtId="0" fontId="0" fillId="10" borderId="0" xfId="54" applyFont="1" applyFill="1" applyBorder="1" applyAlignment="1">
      <alignment vertical="center"/>
      <protection/>
    </xf>
    <xf numFmtId="0" fontId="0" fillId="10" borderId="52" xfId="54" applyFont="1" applyFill="1" applyBorder="1" applyAlignment="1">
      <alignment vertical="center"/>
      <protection/>
    </xf>
    <xf numFmtId="0" fontId="6" fillId="0" borderId="51" xfId="54" applyFont="1" applyBorder="1" applyAlignment="1">
      <alignment vertical="center"/>
      <protection/>
    </xf>
    <xf numFmtId="0" fontId="6" fillId="0" borderId="52" xfId="54" applyFont="1" applyBorder="1" applyAlignment="1">
      <alignment vertical="center"/>
      <protection/>
    </xf>
    <xf numFmtId="0" fontId="0" fillId="0" borderId="94" xfId="54" applyFont="1" applyBorder="1" applyAlignment="1">
      <alignment vertical="center"/>
      <protection/>
    </xf>
    <xf numFmtId="0" fontId="0" fillId="4" borderId="81" xfId="45" applyFont="1" applyFill="1" applyBorder="1" applyAlignment="1" applyProtection="1">
      <alignment horizontal="center" vertical="center" wrapText="1"/>
      <protection locked="0"/>
    </xf>
    <xf numFmtId="0" fontId="2" fillId="20" borderId="43" xfId="0" applyFont="1" applyFill="1" applyBorder="1" applyAlignment="1">
      <alignment horizontal="center" vertical="center"/>
    </xf>
    <xf numFmtId="172" fontId="2" fillId="20" borderId="38" xfId="0" applyNumberFormat="1" applyFont="1" applyFill="1" applyBorder="1" applyAlignment="1">
      <alignment horizontal="center" vertical="center"/>
    </xf>
    <xf numFmtId="0" fontId="6" fillId="20" borderId="38" xfId="0" applyFont="1" applyFill="1" applyBorder="1" applyAlignment="1">
      <alignment horizontal="left" vertical="center" wrapText="1"/>
    </xf>
    <xf numFmtId="0" fontId="6" fillId="20" borderId="38" xfId="0" applyFont="1" applyFill="1" applyBorder="1" applyAlignment="1">
      <alignment vertical="center" wrapText="1"/>
    </xf>
    <xf numFmtId="173" fontId="45" fillId="20" borderId="3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15" borderId="43" xfId="0" applyFont="1" applyFill="1" applyBorder="1" applyAlignment="1">
      <alignment horizontal="center" vertical="center"/>
    </xf>
    <xf numFmtId="172" fontId="6" fillId="15" borderId="38" xfId="0" applyNumberFormat="1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left" vertical="center" wrapText="1"/>
    </xf>
    <xf numFmtId="0" fontId="6" fillId="15" borderId="38" xfId="0" applyFont="1" applyFill="1" applyBorder="1" applyAlignment="1">
      <alignment vertical="center" wrapText="1"/>
    </xf>
    <xf numFmtId="173" fontId="45" fillId="15" borderId="38" xfId="0" applyNumberFormat="1" applyFont="1" applyFill="1" applyBorder="1" applyAlignment="1">
      <alignment horizontal="center" vertical="center" wrapText="1"/>
    </xf>
    <xf numFmtId="173" fontId="12" fillId="15" borderId="38" xfId="0" applyNumberFormat="1" applyFont="1" applyFill="1" applyBorder="1" applyAlignment="1">
      <alignment horizontal="center" vertical="center" wrapText="1"/>
    </xf>
    <xf numFmtId="0" fontId="25" fillId="28" borderId="38" xfId="0" applyFont="1" applyFill="1" applyBorder="1" applyAlignment="1">
      <alignment horizontal="center" vertical="center" wrapText="1"/>
    </xf>
    <xf numFmtId="0" fontId="25" fillId="28" borderId="43" xfId="0" applyFont="1" applyFill="1" applyBorder="1" applyAlignment="1">
      <alignment horizontal="center" vertical="center"/>
    </xf>
    <xf numFmtId="172" fontId="25" fillId="28" borderId="38" xfId="0" applyNumberFormat="1" applyFont="1" applyFill="1" applyBorder="1" applyAlignment="1">
      <alignment horizontal="center" vertical="center"/>
    </xf>
    <xf numFmtId="0" fontId="25" fillId="28" borderId="38" xfId="0" applyFont="1" applyFill="1" applyBorder="1" applyAlignment="1">
      <alignment horizontal="left" vertical="center" wrapText="1"/>
    </xf>
    <xf numFmtId="0" fontId="6" fillId="28" borderId="38" xfId="0" applyFont="1" applyFill="1" applyBorder="1" applyAlignment="1">
      <alignment vertical="center" wrapText="1"/>
    </xf>
    <xf numFmtId="173" fontId="12" fillId="20" borderId="38" xfId="0" applyNumberFormat="1" applyFont="1" applyFill="1" applyBorder="1" applyAlignment="1">
      <alignment horizontal="center" vertical="center" wrapText="1"/>
    </xf>
    <xf numFmtId="1" fontId="6" fillId="8" borderId="38" xfId="0" applyNumberFormat="1" applyFont="1" applyFill="1" applyBorder="1" applyAlignment="1">
      <alignment horizontal="center" vertical="center" wrapText="1"/>
    </xf>
    <xf numFmtId="0" fontId="6" fillId="20" borderId="38" xfId="0" applyFont="1" applyFill="1" applyBorder="1" applyAlignment="1">
      <alignment horizontal="center" vertical="center" wrapText="1"/>
    </xf>
    <xf numFmtId="1" fontId="6" fillId="20" borderId="38" xfId="0" applyNumberFormat="1" applyFont="1" applyFill="1" applyBorder="1" applyAlignment="1">
      <alignment horizontal="center" vertical="center" wrapText="1"/>
    </xf>
    <xf numFmtId="0" fontId="0" fillId="4" borderId="99" xfId="45" applyFont="1" applyFill="1" applyBorder="1" applyAlignment="1" applyProtection="1">
      <alignment horizontal="center" vertical="center" wrapText="1"/>
      <protection locked="0"/>
    </xf>
    <xf numFmtId="9" fontId="0" fillId="4" borderId="38" xfId="52" applyFont="1" applyFill="1" applyBorder="1" applyAlignment="1" applyProtection="1">
      <alignment horizontal="center" vertical="center"/>
      <protection locked="0"/>
    </xf>
    <xf numFmtId="175" fontId="0" fillId="4" borderId="38" xfId="42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vertical="center"/>
    </xf>
    <xf numFmtId="0" fontId="29" fillId="0" borderId="81" xfId="55" applyFont="1" applyBorder="1" applyAlignment="1">
      <alignment vertical="center"/>
      <protection/>
    </xf>
    <xf numFmtId="0" fontId="29" fillId="0" borderId="93" xfId="55" applyFont="1" applyBorder="1" applyAlignment="1">
      <alignment vertical="center"/>
      <protection/>
    </xf>
    <xf numFmtId="0" fontId="44" fillId="4" borderId="38" xfId="44" applyFont="1" applyFill="1" applyBorder="1" applyAlignment="1" applyProtection="1">
      <alignment horizontal="right" vertical="center"/>
      <protection locked="0"/>
    </xf>
    <xf numFmtId="0" fontId="44" fillId="4" borderId="46" xfId="44" applyFont="1" applyFill="1" applyBorder="1" applyAlignment="1" applyProtection="1">
      <alignment horizontal="right" vertical="center"/>
      <protection locked="0"/>
    </xf>
    <xf numFmtId="0" fontId="42" fillId="10" borderId="38" xfId="55" applyFont="1" applyFill="1" applyBorder="1" applyAlignment="1">
      <alignment horizontal="right" vertical="center"/>
      <protection/>
    </xf>
    <xf numFmtId="0" fontId="42" fillId="10" borderId="60" xfId="55" applyFont="1" applyFill="1" applyBorder="1" applyAlignment="1">
      <alignment horizontal="right" vertical="center"/>
      <protection/>
    </xf>
    <xf numFmtId="0" fontId="6" fillId="0" borderId="0" xfId="54" applyFont="1" applyAlignment="1">
      <alignment horizontal="right" vertical="center"/>
      <protection/>
    </xf>
    <xf numFmtId="0" fontId="44" fillId="4" borderId="100" xfId="44" applyFont="1" applyFill="1" applyBorder="1" applyAlignment="1" applyProtection="1">
      <alignment horizontal="right" vertical="center"/>
      <protection locked="0"/>
    </xf>
    <xf numFmtId="0" fontId="42" fillId="0" borderId="0" xfId="55" applyFont="1" applyBorder="1" applyAlignment="1">
      <alignment horizontal="right" vertical="center"/>
      <protection/>
    </xf>
    <xf numFmtId="0" fontId="41" fillId="10" borderId="1" xfId="39" applyFont="1" applyFill="1" applyBorder="1" applyAlignment="1">
      <alignment horizontal="right" vertical="center"/>
    </xf>
    <xf numFmtId="0" fontId="40" fillId="0" borderId="0" xfId="55" applyFont="1" applyBorder="1" applyAlignment="1">
      <alignment horizontal="right" vertical="center"/>
      <protection/>
    </xf>
    <xf numFmtId="0" fontId="42" fillId="0" borderId="0" xfId="55" applyFont="1" applyAlignment="1">
      <alignment horizontal="right" vertical="center"/>
      <protection/>
    </xf>
    <xf numFmtId="0" fontId="5" fillId="20" borderId="64" xfId="54" applyFont="1" applyFill="1" applyBorder="1" applyAlignment="1">
      <alignment vertical="center" wrapText="1"/>
      <protection/>
    </xf>
    <xf numFmtId="0" fontId="5" fillId="20" borderId="65" xfId="54" applyFont="1" applyFill="1" applyBorder="1" applyAlignment="1">
      <alignment vertical="center" wrapText="1"/>
      <protection/>
    </xf>
    <xf numFmtId="0" fontId="5" fillId="20" borderId="101" xfId="45" applyFont="1" applyFill="1" applyBorder="1" applyAlignment="1">
      <alignment horizontal="center" vertical="center" wrapText="1"/>
    </xf>
    <xf numFmtId="0" fontId="5" fillId="20" borderId="67" xfId="45" applyFont="1" applyFill="1" applyBorder="1" applyAlignment="1">
      <alignment horizontal="center" vertical="center"/>
    </xf>
    <xf numFmtId="0" fontId="40" fillId="0" borderId="91" xfId="54" applyFont="1" applyBorder="1" applyAlignment="1">
      <alignment vertical="center"/>
      <protection/>
    </xf>
    <xf numFmtId="0" fontId="0" fillId="0" borderId="52" xfId="54" applyFont="1" applyFill="1" applyBorder="1" applyAlignment="1">
      <alignment vertical="center"/>
      <protection/>
    </xf>
    <xf numFmtId="0" fontId="33" fillId="21" borderId="57" xfId="54" applyFont="1" applyFill="1" applyBorder="1" applyAlignment="1">
      <alignment horizontal="center" vertical="center"/>
      <protection/>
    </xf>
    <xf numFmtId="0" fontId="44" fillId="4" borderId="102" xfId="44" applyFont="1" applyFill="1" applyBorder="1" applyAlignment="1" applyProtection="1">
      <alignment horizontal="right" vertical="center"/>
      <protection locked="0"/>
    </xf>
    <xf numFmtId="0" fontId="44" fillId="4" borderId="103" xfId="44" applyFont="1" applyFill="1" applyBorder="1" applyAlignment="1" applyProtection="1">
      <alignment horizontal="right" vertical="center"/>
      <protection locked="0"/>
    </xf>
    <xf numFmtId="0" fontId="21" fillId="10" borderId="31" xfId="55" applyFont="1" applyFill="1" applyBorder="1" applyAlignment="1">
      <alignment horizontal="center" vertical="center"/>
      <protection/>
    </xf>
    <xf numFmtId="2" fontId="21" fillId="10" borderId="31" xfId="55" applyNumberFormat="1" applyFont="1" applyFill="1" applyBorder="1" applyAlignment="1">
      <alignment horizontal="center" vertical="center"/>
      <protection/>
    </xf>
    <xf numFmtId="0" fontId="0" fillId="4" borderId="81" xfId="44" applyFont="1" applyFill="1" applyBorder="1" applyAlignment="1" applyProtection="1">
      <alignment horizontal="center" vertical="center"/>
      <protection locked="0"/>
    </xf>
    <xf numFmtId="0" fontId="44" fillId="4" borderId="46" xfId="45" applyFont="1" applyFill="1" applyBorder="1" applyAlignment="1" applyProtection="1">
      <alignment horizontal="center" vertical="center"/>
      <protection locked="0"/>
    </xf>
    <xf numFmtId="1" fontId="6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4" xfId="45" applyFont="1" applyFill="1" applyBorder="1" applyAlignment="1" applyProtection="1">
      <alignment horizontal="center" vertical="center"/>
      <protection locked="0"/>
    </xf>
    <xf numFmtId="0" fontId="0" fillId="4" borderId="97" xfId="45" applyFont="1" applyFill="1" applyBorder="1" applyAlignment="1" applyProtection="1">
      <alignment horizontal="center" vertical="center"/>
      <protection locked="0"/>
    </xf>
    <xf numFmtId="0" fontId="0" fillId="4" borderId="66" xfId="45" applyFont="1" applyFill="1" applyBorder="1" applyAlignment="1" applyProtection="1">
      <alignment horizontal="center" vertical="center" wrapText="1"/>
      <protection locked="0"/>
    </xf>
    <xf numFmtId="0" fontId="0" fillId="0" borderId="98" xfId="54" applyFont="1" applyBorder="1" applyAlignment="1">
      <alignment vertical="center" wrapText="1"/>
      <protection/>
    </xf>
    <xf numFmtId="0" fontId="0" fillId="0" borderId="105" xfId="45" applyFont="1" applyFill="1" applyBorder="1" applyAlignment="1" applyProtection="1">
      <alignment horizontal="center" vertical="center"/>
      <protection/>
    </xf>
    <xf numFmtId="0" fontId="0" fillId="4" borderId="106" xfId="45" applyFont="1" applyFill="1" applyBorder="1" applyAlignment="1" applyProtection="1">
      <alignment horizontal="center" vertical="center"/>
      <protection locked="0"/>
    </xf>
    <xf numFmtId="0" fontId="40" fillId="0" borderId="67" xfId="45" applyFont="1" applyFill="1" applyBorder="1" applyAlignment="1">
      <alignment horizontal="center" vertical="center" wrapText="1"/>
    </xf>
    <xf numFmtId="0" fontId="0" fillId="4" borderId="59" xfId="45" applyFont="1" applyFill="1" applyBorder="1" applyAlignment="1" applyProtection="1">
      <alignment horizontal="center" vertical="center" wrapText="1"/>
      <protection locked="0"/>
    </xf>
    <xf numFmtId="0" fontId="41" fillId="10" borderId="68" xfId="45" applyFont="1" applyFill="1" applyBorder="1" applyAlignment="1">
      <alignment horizontal="center" vertical="center"/>
    </xf>
    <xf numFmtId="0" fontId="44" fillId="4" borderId="38" xfId="45" applyFont="1" applyFill="1" applyBorder="1" applyAlignment="1" applyProtection="1">
      <alignment horizontal="center" vertical="center"/>
      <protection locked="0"/>
    </xf>
    <xf numFmtId="0" fontId="0" fillId="0" borderId="68" xfId="54" applyFont="1" applyBorder="1" applyAlignment="1">
      <alignment horizontal="center" vertical="center"/>
      <protection/>
    </xf>
    <xf numFmtId="0" fontId="0" fillId="0" borderId="87" xfId="0" applyFont="1" applyBorder="1" applyAlignment="1">
      <alignment vertical="center" wrapText="1"/>
    </xf>
    <xf numFmtId="0" fontId="0" fillId="4" borderId="101" xfId="45" applyFont="1" applyFill="1" applyBorder="1" applyAlignment="1" applyProtection="1">
      <alignment horizontal="center" vertical="center" wrapText="1"/>
      <protection locked="0"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54" applyFont="1" applyBorder="1" applyAlignment="1">
      <alignment vertical="center" wrapText="1"/>
      <protection/>
    </xf>
    <xf numFmtId="0" fontId="0" fillId="0" borderId="0" xfId="54" applyAlignment="1">
      <alignment vertical="center"/>
      <protection/>
    </xf>
    <xf numFmtId="0" fontId="0" fillId="0" borderId="4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5" xfId="54" applyFont="1" applyBorder="1" applyAlignment="1">
      <alignment vertical="center" wrapText="1"/>
      <protection/>
    </xf>
    <xf numFmtId="0" fontId="0" fillId="0" borderId="64" xfId="54" applyFont="1" applyBorder="1" applyAlignment="1">
      <alignment vertical="center" wrapText="1"/>
      <protection/>
    </xf>
    <xf numFmtId="0" fontId="0" fillId="0" borderId="63" xfId="54" applyFont="1" applyBorder="1" applyAlignment="1">
      <alignment vertical="center" wrapText="1"/>
      <protection/>
    </xf>
    <xf numFmtId="0" fontId="0" fillId="0" borderId="61" xfId="54" applyFont="1" applyBorder="1" applyAlignment="1">
      <alignment horizontal="center" vertical="center" wrapText="1"/>
      <protection/>
    </xf>
    <xf numFmtId="0" fontId="29" fillId="0" borderId="43" xfId="55" applyFont="1" applyBorder="1" applyAlignment="1">
      <alignment vertical="center" wrapText="1"/>
      <protection/>
    </xf>
    <xf numFmtId="0" fontId="29" fillId="0" borderId="43" xfId="55" applyFont="1" applyBorder="1" applyAlignment="1">
      <alignment vertical="center" wrapText="1"/>
      <protection/>
    </xf>
    <xf numFmtId="0" fontId="0" fillId="0" borderId="43" xfId="55" applyFont="1" applyBorder="1" applyAlignment="1">
      <alignment vertical="center" wrapText="1"/>
      <protection/>
    </xf>
    <xf numFmtId="49" fontId="0" fillId="0" borderId="10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5" fillId="20" borderId="108" xfId="0" applyFont="1" applyFill="1" applyBorder="1" applyAlignment="1">
      <alignment horizontal="center" vertical="center" wrapText="1"/>
    </xf>
    <xf numFmtId="172" fontId="18" fillId="0" borderId="56" xfId="0" applyNumberFormat="1" applyFont="1" applyBorder="1" applyAlignment="1" applyProtection="1">
      <alignment horizontal="center" vertical="center"/>
      <protection locked="0"/>
    </xf>
    <xf numFmtId="172" fontId="18" fillId="0" borderId="31" xfId="0" applyNumberFormat="1" applyFont="1" applyBorder="1" applyAlignment="1" applyProtection="1">
      <alignment horizontal="center" vertical="center"/>
      <protection locked="0"/>
    </xf>
    <xf numFmtId="3" fontId="6" fillId="0" borderId="108" xfId="0" applyNumberFormat="1" applyFont="1" applyFill="1" applyBorder="1" applyAlignment="1">
      <alignment horizontal="center" vertical="center"/>
    </xf>
    <xf numFmtId="172" fontId="0" fillId="20" borderId="47" xfId="0" applyNumberFormat="1" applyFill="1" applyBorder="1" applyAlignment="1">
      <alignment horizontal="center" vertical="center"/>
    </xf>
    <xf numFmtId="172" fontId="0" fillId="20" borderId="68" xfId="0" applyNumberFormat="1" applyFill="1" applyBorder="1" applyAlignment="1">
      <alignment horizontal="center" vertical="center"/>
    </xf>
    <xf numFmtId="172" fontId="0" fillId="20" borderId="109" xfId="0" applyNumberFormat="1" applyFill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172" fontId="0" fillId="0" borderId="47" xfId="0" applyNumberFormat="1" applyBorder="1" applyAlignment="1" applyProtection="1">
      <alignment horizontal="center" vertical="center"/>
      <protection locked="0"/>
    </xf>
    <xf numFmtId="172" fontId="0" fillId="0" borderId="68" xfId="0" applyNumberFormat="1" applyBorder="1" applyAlignment="1" applyProtection="1">
      <alignment horizontal="center" vertical="center"/>
      <protection locked="0"/>
    </xf>
    <xf numFmtId="172" fontId="0" fillId="0" borderId="109" xfId="0" applyNumberForma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5" fillId="0" borderId="1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2" fontId="18" fillId="0" borderId="54" xfId="0" applyNumberFormat="1" applyFont="1" applyBorder="1" applyAlignment="1" applyProtection="1">
      <alignment horizontal="center" vertical="center"/>
      <protection locked="0"/>
    </xf>
    <xf numFmtId="1" fontId="6" fillId="20" borderId="108" xfId="0" applyNumberFormat="1" applyFont="1" applyFill="1" applyBorder="1" applyAlignment="1" quotePrefix="1">
      <alignment horizontal="center" vertical="center" wrapText="1"/>
    </xf>
    <xf numFmtId="1" fontId="6" fillId="20" borderId="14" xfId="0" applyNumberFormat="1" applyFont="1" applyFill="1" applyBorder="1" applyAlignment="1">
      <alignment horizontal="center" vertical="center" wrapText="1"/>
    </xf>
    <xf numFmtId="1" fontId="6" fillId="20" borderId="108" xfId="0" applyNumberFormat="1" applyFont="1" applyFill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14" xfId="0" applyFont="1" applyFill="1" applyBorder="1" applyAlignment="1">
      <alignment horizontal="center" vertical="center" wrapText="1"/>
    </xf>
    <xf numFmtId="0" fontId="13" fillId="0" borderId="115" xfId="0" applyFont="1" applyFill="1" applyBorder="1" applyAlignment="1">
      <alignment horizontal="center" vertical="center" wrapText="1"/>
    </xf>
    <xf numFmtId="0" fontId="11" fillId="20" borderId="108" xfId="0" applyFont="1" applyFill="1" applyBorder="1" applyAlignment="1">
      <alignment horizontal="center" vertical="center" wrapText="1"/>
    </xf>
    <xf numFmtId="0" fontId="11" fillId="20" borderId="14" xfId="0" applyFont="1" applyFill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5" fillId="20" borderId="108" xfId="0" applyNumberFormat="1" applyFont="1" applyFill="1" applyBorder="1" applyAlignment="1">
      <alignment horizontal="center" vertical="center" wrapText="1"/>
    </xf>
    <xf numFmtId="1" fontId="5" fillId="2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10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85" xfId="54" applyFont="1" applyFill="1" applyBorder="1" applyAlignment="1">
      <alignment horizontal="left" vertical="top" wrapText="1"/>
      <protection/>
    </xf>
    <xf numFmtId="0" fontId="29" fillId="0" borderId="119" xfId="54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vertical="center"/>
      <protection/>
    </xf>
    <xf numFmtId="0" fontId="0" fillId="4" borderId="104" xfId="45" applyFont="1" applyFill="1" applyBorder="1" applyAlignment="1" applyProtection="1">
      <alignment horizontal="center" vertical="center"/>
      <protection locked="0"/>
    </xf>
    <xf numFmtId="0" fontId="0" fillId="4" borderId="99" xfId="45" applyFont="1" applyFill="1" applyBorder="1" applyAlignment="1" applyProtection="1">
      <alignment horizontal="center" vertical="center"/>
      <protection locked="0"/>
    </xf>
    <xf numFmtId="0" fontId="29" fillId="0" borderId="72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left" vertical="center"/>
    </xf>
    <xf numFmtId="0" fontId="29" fillId="0" borderId="109" xfId="0" applyFont="1" applyFill="1" applyBorder="1" applyAlignment="1">
      <alignment horizontal="left" vertical="center"/>
    </xf>
    <xf numFmtId="0" fontId="64" fillId="10" borderId="47" xfId="55" applyFont="1" applyFill="1" applyBorder="1" applyAlignment="1">
      <alignment horizontal="center" vertical="center"/>
      <protection/>
    </xf>
    <xf numFmtId="0" fontId="64" fillId="10" borderId="109" xfId="55" applyFont="1" applyFill="1" applyBorder="1" applyAlignment="1">
      <alignment horizontal="center" vertical="center"/>
      <protection/>
    </xf>
    <xf numFmtId="0" fontId="29" fillId="10" borderId="38" xfId="0" applyFont="1" applyFill="1" applyBorder="1" applyAlignment="1">
      <alignment horizontal="center" vertical="center"/>
    </xf>
    <xf numFmtId="0" fontId="25" fillId="10" borderId="43" xfId="0" applyFont="1" applyFill="1" applyBorder="1" applyAlignment="1">
      <alignment horizontal="left" vertical="center"/>
    </xf>
    <xf numFmtId="0" fontId="25" fillId="10" borderId="38" xfId="0" applyFont="1" applyFill="1" applyBorder="1" applyAlignment="1">
      <alignment horizontal="left" vertical="center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center" vertical="center"/>
      <protection locked="0"/>
    </xf>
    <xf numFmtId="0" fontId="5" fillId="4" borderId="109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42" fillId="20" borderId="47" xfId="0" applyFont="1" applyFill="1" applyBorder="1" applyAlignment="1">
      <alignment horizontal="center" wrapText="1"/>
    </xf>
    <xf numFmtId="0" fontId="42" fillId="20" borderId="109" xfId="0" applyFont="1" applyFill="1" applyBorder="1" applyAlignment="1">
      <alignment horizontal="center"/>
    </xf>
    <xf numFmtId="0" fontId="6" fillId="0" borderId="0" xfId="54" applyFont="1" applyBorder="1" applyAlignment="1">
      <alignment horizontal="left" vertical="center"/>
      <protection/>
    </xf>
    <xf numFmtId="0" fontId="43" fillId="0" borderId="21" xfId="55" applyFont="1" applyBorder="1" applyAlignment="1">
      <alignment horizontal="center" vertical="center"/>
      <protection/>
    </xf>
    <xf numFmtId="0" fontId="43" fillId="0" borderId="22" xfId="55" applyFont="1" applyBorder="1" applyAlignment="1">
      <alignment horizontal="center" vertical="center"/>
      <protection/>
    </xf>
    <xf numFmtId="0" fontId="43" fillId="0" borderId="32" xfId="55" applyFont="1" applyBorder="1" applyAlignment="1">
      <alignment horizontal="center" vertical="center"/>
      <protection/>
    </xf>
    <xf numFmtId="0" fontId="43" fillId="0" borderId="21" xfId="16" applyFont="1" applyFill="1" applyBorder="1" applyAlignment="1" applyProtection="1">
      <alignment horizontal="center" vertical="center"/>
      <protection/>
    </xf>
    <xf numFmtId="0" fontId="43" fillId="0" borderId="22" xfId="16" applyFont="1" applyFill="1" applyBorder="1" applyAlignment="1" applyProtection="1">
      <alignment horizontal="center" vertical="center"/>
      <protection/>
    </xf>
    <xf numFmtId="0" fontId="43" fillId="0" borderId="32" xfId="16" applyFont="1" applyFill="1" applyBorder="1" applyAlignment="1" applyProtection="1">
      <alignment horizontal="center" vertical="center"/>
      <protection/>
    </xf>
    <xf numFmtId="0" fontId="43" fillId="20" borderId="21" xfId="16" applyFont="1" applyFill="1" applyBorder="1" applyAlignment="1" applyProtection="1">
      <alignment horizontal="center" vertical="center"/>
      <protection/>
    </xf>
    <xf numFmtId="0" fontId="43" fillId="20" borderId="22" xfId="16" applyFont="1" applyFill="1" applyBorder="1" applyAlignment="1" applyProtection="1">
      <alignment horizontal="center" vertical="center"/>
      <protection/>
    </xf>
    <xf numFmtId="0" fontId="43" fillId="20" borderId="32" xfId="16" applyFont="1" applyFill="1" applyBorder="1" applyAlignment="1" applyProtection="1">
      <alignment horizontal="center" vertical="center"/>
      <protection/>
    </xf>
    <xf numFmtId="0" fontId="6" fillId="0" borderId="0" xfId="54" applyFont="1" applyAlignment="1">
      <alignment horizontal="left"/>
      <protection/>
    </xf>
    <xf numFmtId="0" fontId="41" fillId="0" borderId="120" xfId="39" applyFont="1" applyFill="1" applyBorder="1" applyAlignment="1">
      <alignment horizontal="center" vertical="center"/>
    </xf>
    <xf numFmtId="0" fontId="41" fillId="0" borderId="121" xfId="39" applyFont="1" applyFill="1" applyBorder="1" applyAlignment="1">
      <alignment horizontal="center" vertical="center"/>
    </xf>
    <xf numFmtId="0" fontId="41" fillId="0" borderId="122" xfId="39" applyFont="1" applyFill="1" applyBorder="1" applyAlignment="1">
      <alignment horizontal="center" vertical="center"/>
    </xf>
    <xf numFmtId="0" fontId="29" fillId="0" borderId="64" xfId="55" applyFont="1" applyBorder="1" applyAlignment="1">
      <alignment vertical="top" wrapText="1"/>
      <protection/>
    </xf>
    <xf numFmtId="0" fontId="29" fillId="0" borderId="43" xfId="55" applyFont="1" applyBorder="1" applyAlignment="1">
      <alignment vertical="top" wrapText="1"/>
      <protection/>
    </xf>
    <xf numFmtId="0" fontId="0" fillId="4" borderId="92" xfId="44" applyFont="1" applyFill="1" applyBorder="1" applyAlignment="1" applyProtection="1">
      <alignment horizontal="center" vertical="center"/>
      <protection locked="0"/>
    </xf>
    <xf numFmtId="0" fontId="0" fillId="4" borderId="91" xfId="44" applyFont="1" applyFill="1" applyBorder="1" applyAlignment="1" applyProtection="1">
      <alignment horizontal="center" vertical="center"/>
      <protection locked="0"/>
    </xf>
    <xf numFmtId="0" fontId="0" fillId="4" borderId="79" xfId="44" applyFont="1" applyFill="1" applyBorder="1" applyAlignment="1" applyProtection="1">
      <alignment horizontal="center" vertical="center"/>
      <protection locked="0"/>
    </xf>
    <xf numFmtId="0" fontId="0" fillId="4" borderId="105" xfId="45" applyFont="1" applyFill="1" applyBorder="1" applyAlignment="1" applyProtection="1">
      <alignment horizontal="center" vertical="center"/>
      <protection locked="0"/>
    </xf>
    <xf numFmtId="0" fontId="0" fillId="4" borderId="50" xfId="45" applyFont="1" applyFill="1" applyBorder="1" applyAlignment="1" applyProtection="1">
      <alignment horizontal="center" vertical="center"/>
      <protection locked="0"/>
    </xf>
    <xf numFmtId="0" fontId="0" fillId="4" borderId="97" xfId="45" applyFont="1" applyFill="1" applyBorder="1" applyAlignment="1" applyProtection="1">
      <alignment horizontal="center" vertical="center"/>
      <protection locked="0"/>
    </xf>
    <xf numFmtId="0" fontId="5" fillId="20" borderId="64" xfId="54" applyFont="1" applyFill="1" applyBorder="1" applyAlignment="1">
      <alignment horizontal="center" vertical="center"/>
      <protection/>
    </xf>
    <xf numFmtId="0" fontId="5" fillId="20" borderId="88" xfId="54" applyFont="1" applyFill="1" applyBorder="1" applyAlignment="1">
      <alignment horizontal="center" vertical="center"/>
      <protection/>
    </xf>
    <xf numFmtId="0" fontId="5" fillId="20" borderId="65" xfId="54" applyFont="1" applyFill="1" applyBorder="1" applyAlignment="1">
      <alignment horizontal="center" vertical="center"/>
      <protection/>
    </xf>
    <xf numFmtId="0" fontId="5" fillId="20" borderId="72" xfId="54" applyFont="1" applyFill="1" applyBorder="1" applyAlignment="1">
      <alignment horizontal="center" vertical="center"/>
      <protection/>
    </xf>
    <xf numFmtId="0" fontId="5" fillId="20" borderId="68" xfId="54" applyFont="1" applyFill="1" applyBorder="1" applyAlignment="1">
      <alignment horizontal="center" vertical="center"/>
      <protection/>
    </xf>
    <xf numFmtId="0" fontId="5" fillId="20" borderId="84" xfId="54" applyFont="1" applyFill="1" applyBorder="1" applyAlignment="1">
      <alignment horizontal="center" vertical="center"/>
      <protection/>
    </xf>
    <xf numFmtId="0" fontId="25" fillId="10" borderId="85" xfId="54" applyFont="1" applyFill="1" applyBorder="1" applyAlignment="1">
      <alignment horizontal="left" vertical="center" wrapText="1"/>
      <protection/>
    </xf>
    <xf numFmtId="0" fontId="25" fillId="10" borderId="119" xfId="54" applyFont="1" applyFill="1" applyBorder="1" applyAlignment="1">
      <alignment horizontal="left" vertical="center" wrapText="1"/>
      <protection/>
    </xf>
    <xf numFmtId="0" fontId="25" fillId="10" borderId="86" xfId="54" applyFont="1" applyFill="1" applyBorder="1" applyAlignment="1">
      <alignment horizontal="left" vertical="center" wrapText="1"/>
      <protection/>
    </xf>
    <xf numFmtId="0" fontId="0" fillId="4" borderId="67" xfId="45" applyFont="1" applyFill="1" applyBorder="1" applyAlignment="1" applyProtection="1">
      <alignment horizontal="center" vertical="center"/>
      <protection locked="0"/>
    </xf>
    <xf numFmtId="0" fontId="0" fillId="4" borderId="98" xfId="45" applyFont="1" applyFill="1" applyBorder="1" applyAlignment="1" applyProtection="1">
      <alignment horizontal="center" vertical="center"/>
      <protection locked="0"/>
    </xf>
    <xf numFmtId="0" fontId="0" fillId="0" borderId="65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62" xfId="54" applyFont="1" applyBorder="1" applyAlignment="1">
      <alignment horizontal="center" vertical="center" wrapText="1"/>
      <protection/>
    </xf>
    <xf numFmtId="0" fontId="0" fillId="0" borderId="67" xfId="45" applyFont="1" applyFill="1" applyBorder="1" applyAlignment="1" applyProtection="1">
      <alignment horizontal="center" vertical="center" wrapText="1"/>
      <protection/>
    </xf>
    <xf numFmtId="0" fontId="0" fillId="0" borderId="50" xfId="45" applyFont="1" applyFill="1" applyBorder="1" applyAlignment="1" applyProtection="1">
      <alignment horizontal="center" vertical="center" wrapText="1"/>
      <protection/>
    </xf>
    <xf numFmtId="0" fontId="0" fillId="0" borderId="66" xfId="45" applyFont="1" applyFill="1" applyBorder="1" applyAlignment="1" applyProtection="1">
      <alignment horizontal="center" vertical="center" wrapText="1"/>
      <protection/>
    </xf>
    <xf numFmtId="0" fontId="0" fillId="4" borderId="101" xfId="45" applyFont="1" applyFill="1" applyBorder="1" applyAlignment="1" applyProtection="1">
      <alignment horizontal="center" vertical="center" wrapText="1"/>
      <protection locked="0"/>
    </xf>
    <xf numFmtId="0" fontId="0" fillId="4" borderId="123" xfId="45" applyFont="1" applyFill="1" applyBorder="1" applyAlignment="1" applyProtection="1">
      <alignment horizontal="center" vertical="center" wrapText="1"/>
      <protection locked="0"/>
    </xf>
    <xf numFmtId="0" fontId="5" fillId="20" borderId="87" xfId="54" applyFont="1" applyFill="1" applyBorder="1" applyAlignment="1">
      <alignment horizontal="center" vertical="center"/>
      <protection/>
    </xf>
    <xf numFmtId="0" fontId="5" fillId="20" borderId="49" xfId="54" applyFont="1" applyFill="1" applyBorder="1" applyAlignment="1">
      <alignment horizontal="center" vertical="center"/>
      <protection/>
    </xf>
    <xf numFmtId="0" fontId="5" fillId="20" borderId="95" xfId="54" applyFont="1" applyFill="1" applyBorder="1" applyAlignment="1">
      <alignment horizontal="center" vertical="center"/>
      <protection/>
    </xf>
    <xf numFmtId="0" fontId="5" fillId="20" borderId="94" xfId="54" applyFont="1" applyFill="1" applyBorder="1" applyAlignment="1">
      <alignment horizontal="center" vertical="center"/>
      <protection/>
    </xf>
    <xf numFmtId="0" fontId="5" fillId="20" borderId="73" xfId="54" applyFont="1" applyFill="1" applyBorder="1" applyAlignment="1">
      <alignment horizontal="center" vertical="center"/>
      <protection/>
    </xf>
    <xf numFmtId="0" fontId="5" fillId="20" borderId="74" xfId="54" applyFont="1" applyFill="1" applyBorder="1" applyAlignment="1">
      <alignment horizontal="center" vertic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ingabe 2" xfId="45"/>
    <cellStyle name="Ergebnis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"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9525</xdr:rowOff>
    </xdr:from>
    <xdr:to>
      <xdr:col>7</xdr:col>
      <xdr:colOff>695325</xdr:colOff>
      <xdr:row>2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66700" y="9525"/>
          <a:ext cx="101155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Kriterien Kommunalgebäudeausweis Vorarlberg -  Generalsanierung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Endversion 2011)  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Gemeindeamtsgebäude, Pflichtschulen inkl. Mehrzweck- und Turnhallen, Kultursäle, Pflegeheime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4</xdr:col>
      <xdr:colOff>1619250</xdr:colOff>
      <xdr:row>0</xdr:row>
      <xdr:rowOff>657225</xdr:rowOff>
    </xdr:to>
    <xdr:pic>
      <xdr:nvPicPr>
        <xdr:cNvPr id="1" name="Picture 3" descr="k-ah logo"/>
        <xdr:cNvPicPr preferRelativeResize="1">
          <a:picLocks noChangeAspect="1"/>
        </xdr:cNvPicPr>
      </xdr:nvPicPr>
      <xdr:blipFill>
        <a:blip r:embed="rId1"/>
        <a:srcRect b="-9091"/>
        <a:stretch>
          <a:fillRect/>
        </a:stretch>
      </xdr:blipFill>
      <xdr:spPr>
        <a:xfrm>
          <a:off x="57150" y="8572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1219200</xdr:colOff>
      <xdr:row>0</xdr:row>
      <xdr:rowOff>19050</xdr:rowOff>
    </xdr:from>
    <xdr:to>
      <xdr:col>6</xdr:col>
      <xdr:colOff>466725</xdr:colOff>
      <xdr:row>0</xdr:row>
      <xdr:rowOff>619125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66900" y="19050"/>
          <a:ext cx="4105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Haus - Kriterienkatalog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(Arbeitspapier Version 2.0 - 29.8.2005)</a:t>
          </a:r>
        </a:p>
      </xdr:txBody>
    </xdr:sp>
    <xdr:clientData/>
  </xdr:twoCellAnchor>
  <xdr:twoCellAnchor>
    <xdr:from>
      <xdr:col>4</xdr:col>
      <xdr:colOff>1447800</xdr:colOff>
      <xdr:row>4</xdr:row>
      <xdr:rowOff>114300</xdr:rowOff>
    </xdr:from>
    <xdr:to>
      <xdr:col>4</xdr:col>
      <xdr:colOff>3305175</xdr:colOff>
      <xdr:row>44</xdr:row>
      <xdr:rowOff>152400</xdr:rowOff>
    </xdr:to>
    <xdr:sp>
      <xdr:nvSpPr>
        <xdr:cNvPr id="3" name="WordArt 5"/>
        <xdr:cNvSpPr>
          <a:spLocks/>
        </xdr:cNvSpPr>
      </xdr:nvSpPr>
      <xdr:spPr>
        <a:xfrm rot="18294982">
          <a:off x="2095500" y="1485900"/>
          <a:ext cx="1857375" cy="6505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  <xdr:twoCellAnchor>
    <xdr:from>
      <xdr:col>4</xdr:col>
      <xdr:colOff>1419225</xdr:colOff>
      <xdr:row>48</xdr:row>
      <xdr:rowOff>76200</xdr:rowOff>
    </xdr:from>
    <xdr:to>
      <xdr:col>4</xdr:col>
      <xdr:colOff>3276600</xdr:colOff>
      <xdr:row>81</xdr:row>
      <xdr:rowOff>66675</xdr:rowOff>
    </xdr:to>
    <xdr:sp>
      <xdr:nvSpPr>
        <xdr:cNvPr id="4" name="WordArt 6"/>
        <xdr:cNvSpPr>
          <a:spLocks/>
        </xdr:cNvSpPr>
      </xdr:nvSpPr>
      <xdr:spPr>
        <a:xfrm rot="18294982">
          <a:off x="2066925" y="8496300"/>
          <a:ext cx="1857375" cy="7439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dl\Lokale%20Einstellungen\Temporary%20Internet%20Files\Content.Outlook\X0DDG7I9\Exceltool-Fahrradabstellplaetz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riterien-KGA2011-Neubau%20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kteermittlung"/>
      <sheetName val="Objektabelle"/>
      <sheetName val="Gemeindetabelle"/>
      <sheetName val="Tabelle4"/>
      <sheetName val="Tabelle5"/>
    </sheetNames>
    <sheetDataSet>
      <sheetData sheetId="1">
        <row r="3">
          <cell r="B3" t="str">
            <v>Gebäudetyp</v>
          </cell>
          <cell r="C3" t="str">
            <v>Mitarbeiter Min</v>
          </cell>
          <cell r="D3" t="str">
            <v>Mitarbeiter Max</v>
          </cell>
          <cell r="E3" t="str">
            <v>Besucher Min</v>
          </cell>
          <cell r="F3" t="str">
            <v>Besucher Max</v>
          </cell>
          <cell r="G3" t="str">
            <v>Ausbildungsplatz Min</v>
          </cell>
          <cell r="H3" t="str">
            <v>Ausbildungsplatz Max</v>
          </cell>
          <cell r="I3" t="str">
            <v>Bezugsgröße 1</v>
          </cell>
          <cell r="J3" t="str">
            <v>Bezugsgröße 2</v>
          </cell>
          <cell r="K3" t="str">
            <v>Bezugsgröße 3</v>
          </cell>
        </row>
        <row r="4">
          <cell r="B4" t="str">
            <v>Verwaltungsgebäude</v>
          </cell>
          <cell r="C4">
            <v>0.2</v>
          </cell>
          <cell r="D4">
            <v>0.4</v>
          </cell>
          <cell r="E4">
            <v>0.1</v>
          </cell>
          <cell r="F4">
            <v>0.2</v>
          </cell>
          <cell r="G4">
            <v>0</v>
          </cell>
          <cell r="H4">
            <v>0</v>
          </cell>
          <cell r="I4" t="str">
            <v>Arbeitsplätze/Beschäftigte</v>
          </cell>
        </row>
        <row r="5">
          <cell r="B5" t="str">
            <v>Kindergarten</v>
          </cell>
          <cell r="C5">
            <v>0.5</v>
          </cell>
          <cell r="D5">
            <v>0.9</v>
          </cell>
          <cell r="E5">
            <v>0.1</v>
          </cell>
          <cell r="F5">
            <v>0.2</v>
          </cell>
          <cell r="G5">
            <v>0</v>
          </cell>
          <cell r="H5">
            <v>0</v>
          </cell>
          <cell r="I5" t="str">
            <v>Arbeitsplätze/Beschäftigte</v>
          </cell>
          <cell r="J5" t="str">
            <v>Ausbildungsplätze</v>
          </cell>
        </row>
        <row r="6">
          <cell r="B6" t="str">
            <v>Volksschule</v>
          </cell>
          <cell r="C6">
            <v>0.2</v>
          </cell>
          <cell r="D6">
            <v>0.6</v>
          </cell>
          <cell r="E6">
            <v>0</v>
          </cell>
          <cell r="F6">
            <v>0</v>
          </cell>
          <cell r="G6">
            <v>0.1</v>
          </cell>
          <cell r="H6">
            <v>0.2</v>
          </cell>
          <cell r="I6" t="str">
            <v>Arbeitsplätze/Beschäftigte</v>
          </cell>
          <cell r="J6" t="str">
            <v>Ausbildungsplätze</v>
          </cell>
        </row>
        <row r="7">
          <cell r="B7" t="str">
            <v>Mittelschule/Hauptschule</v>
          </cell>
          <cell r="C7">
            <v>0.2</v>
          </cell>
          <cell r="D7">
            <v>0.6</v>
          </cell>
          <cell r="E7">
            <v>0</v>
          </cell>
          <cell r="F7">
            <v>0</v>
          </cell>
          <cell r="G7">
            <v>0.6</v>
          </cell>
          <cell r="H7">
            <v>0.9</v>
          </cell>
          <cell r="I7" t="str">
            <v>Arbeitsplätze/Beschäftigte</v>
          </cell>
          <cell r="J7" t="str">
            <v>Ausbildungsplätze</v>
          </cell>
        </row>
        <row r="8">
          <cell r="B8" t="str">
            <v>Pflegeheim/Altersheim</v>
          </cell>
          <cell r="C8">
            <v>0.2</v>
          </cell>
          <cell r="D8">
            <v>0.4</v>
          </cell>
          <cell r="E8">
            <v>0.05</v>
          </cell>
          <cell r="F8">
            <v>0.1</v>
          </cell>
          <cell r="G8">
            <v>0</v>
          </cell>
          <cell r="H8">
            <v>0</v>
          </cell>
          <cell r="I8" t="str">
            <v>Arbeitsplätze/Beschäftigte</v>
          </cell>
          <cell r="K8" t="str">
            <v>Bewohner</v>
          </cell>
        </row>
      </sheetData>
      <sheetData sheetId="2">
        <row r="3">
          <cell r="B3" t="str">
            <v>Alberschwende</v>
          </cell>
          <cell r="C3" t="str">
            <v>Kategorie B: Gute Eignung für den innerörtlichen Alltagsradverkehr</v>
          </cell>
        </row>
        <row r="4">
          <cell r="B4" t="str">
            <v>Altach</v>
          </cell>
          <cell r="C4" t="str">
            <v>Kategorie A: Gute Eignung für innerörtlichen und überkommunalen Alltagsradverkehr</v>
          </cell>
        </row>
        <row r="5">
          <cell r="B5" t="str">
            <v>Andelsbuch</v>
          </cell>
          <cell r="C5" t="str">
            <v>Kategorie B: Gute Eignung für den innerörtlichen Alltagsradverkehr</v>
          </cell>
        </row>
        <row r="6">
          <cell r="B6" t="str">
            <v>Au</v>
          </cell>
          <cell r="C6" t="str">
            <v>Kategorie B: Gute Eignung für den innerörtlichen Alltagsradverkehr</v>
          </cell>
        </row>
        <row r="7">
          <cell r="B7" t="str">
            <v>Bartholomäberg</v>
          </cell>
          <cell r="C7" t="str">
            <v>Kategorie C: Eingeschränkte Eignung für den Alltagsradverkehr</v>
          </cell>
        </row>
        <row r="8">
          <cell r="B8" t="str">
            <v>Bezau</v>
          </cell>
          <cell r="C8" t="str">
            <v>Kategorie B: Gute Eignung für den innerörtlichen Alltagsradverkehr</v>
          </cell>
        </row>
        <row r="9">
          <cell r="B9" t="str">
            <v>Bildstein</v>
          </cell>
          <cell r="C9" t="str">
            <v>Kategorie C: Eingeschränkte Eignung für den Alltagsradverkehr</v>
          </cell>
        </row>
        <row r="10">
          <cell r="B10" t="str">
            <v>Bizau</v>
          </cell>
          <cell r="C10" t="str">
            <v>Kategorie B: Gute Eignung für den innerörtlichen Alltagsradverkehr</v>
          </cell>
        </row>
        <row r="11">
          <cell r="B11" t="str">
            <v>Blons</v>
          </cell>
          <cell r="C11" t="str">
            <v>Kategorie C: Eingeschränkte Eignung für den Alltagsradverkehr</v>
          </cell>
        </row>
        <row r="12">
          <cell r="B12" t="str">
            <v>Bludenz</v>
          </cell>
          <cell r="C12" t="str">
            <v>Kategorie A: Gute Eignung für innerörtlichen und überkommunalen Alltagsradverkehr</v>
          </cell>
        </row>
        <row r="13">
          <cell r="B13" t="str">
            <v>Bludesch</v>
          </cell>
          <cell r="C13" t="str">
            <v>Kategorie A: Gute Eignung für innerörtlichen und überkommunalen Alltagsradverkehr</v>
          </cell>
        </row>
        <row r="14">
          <cell r="B14" t="str">
            <v>Brand</v>
          </cell>
          <cell r="C14" t="str">
            <v>Kategorie C: Eingeschränkte Eignung für den Alltagsradverkehr</v>
          </cell>
        </row>
        <row r="15">
          <cell r="B15" t="str">
            <v>Bregenz</v>
          </cell>
          <cell r="C15" t="str">
            <v>Kategorie A: Gute Eignung für innerörtlichen und überkommunalen Alltagsradverkehr</v>
          </cell>
        </row>
        <row r="16">
          <cell r="B16" t="str">
            <v>Bregenz - Fluh</v>
          </cell>
          <cell r="C16" t="str">
            <v>Kategorie C: Eingeschränkte Eignung für den Alltagsradverkehr</v>
          </cell>
        </row>
        <row r="17">
          <cell r="B17" t="str">
            <v>Buch</v>
          </cell>
          <cell r="C17" t="str">
            <v>Kategorie C: Eingeschränkte Eignung für den Alltagsradverkehr</v>
          </cell>
        </row>
        <row r="18">
          <cell r="B18" t="str">
            <v>Bürs</v>
          </cell>
          <cell r="C18" t="str">
            <v>Kategorie A: Gute Eignung für innerörtlichen und überkommunalen Alltagsradverkehr</v>
          </cell>
        </row>
        <row r="19">
          <cell r="B19" t="str">
            <v>Bürserberg</v>
          </cell>
          <cell r="C19" t="str">
            <v>Kategorie C: Eingeschränkte Eignung für den Alltagsradverkehr</v>
          </cell>
        </row>
        <row r="20">
          <cell r="B20" t="str">
            <v>Dalaas</v>
          </cell>
          <cell r="C20" t="str">
            <v>Kategorie B: Gute Eignung für den innerörtlichen Alltagsradverkehr</v>
          </cell>
        </row>
        <row r="21">
          <cell r="B21" t="str">
            <v>Damüls</v>
          </cell>
          <cell r="C21" t="str">
            <v>Kategorie C: Eingeschränkte Eignung für den Alltagsradverkehr</v>
          </cell>
        </row>
        <row r="22">
          <cell r="B22" t="str">
            <v>Donbirn - Watzenegg</v>
          </cell>
          <cell r="C22" t="str">
            <v>Kategorie B: Gute Eignung für den innerörtlichen Alltagsradverkehr</v>
          </cell>
        </row>
        <row r="23">
          <cell r="B23" t="str">
            <v>Doren</v>
          </cell>
          <cell r="C23" t="str">
            <v>Kategorie B: Gute Eignung für den innerörtlichen Alltagsradverkehr</v>
          </cell>
        </row>
        <row r="24">
          <cell r="B24" t="str">
            <v>Dornbirn</v>
          </cell>
          <cell r="C24" t="str">
            <v>Kategorie A: Gute Eignung für innerörtlichen und überkommunalen Alltagsradverkehr</v>
          </cell>
        </row>
        <row r="25">
          <cell r="B25" t="str">
            <v>Dornbirn - Ebnit</v>
          </cell>
          <cell r="C25" t="str">
            <v>Kategorie C: Eingeschränkte Eignung für den Alltagsradverkehr</v>
          </cell>
        </row>
        <row r="26">
          <cell r="B26" t="str">
            <v>Dornbirn - Kehlegg</v>
          </cell>
          <cell r="C26" t="str">
            <v>Kategorie B: Gute Eignung für den innerörtlichen Alltagsradverkehr</v>
          </cell>
        </row>
        <row r="27">
          <cell r="B27" t="str">
            <v>Düns</v>
          </cell>
          <cell r="C27" t="str">
            <v>Kategorie C: Eingeschränkte Eignung für den Alltagsradverkehr</v>
          </cell>
        </row>
        <row r="28">
          <cell r="B28" t="str">
            <v>Dünserberg</v>
          </cell>
          <cell r="C28" t="str">
            <v>Kategorie C: Eingeschränkte Eignung für den Alltagsradverkehr</v>
          </cell>
        </row>
        <row r="29">
          <cell r="B29" t="str">
            <v>Egg</v>
          </cell>
          <cell r="C29" t="str">
            <v>Kategorie B: Gute Eignung für den innerörtlichen Alltagsradverkehr</v>
          </cell>
        </row>
        <row r="30">
          <cell r="B30" t="str">
            <v>Eichenberg</v>
          </cell>
          <cell r="C30" t="str">
            <v>Kategorie C: Eingeschränkte Eignung für den Alltagsradverkehr</v>
          </cell>
        </row>
        <row r="31">
          <cell r="B31" t="str">
            <v>Feldkirch</v>
          </cell>
          <cell r="C31" t="str">
            <v>Kategorie A: Gute Eignung für innerörtlichen und überkommunalen Alltagsradverkehr</v>
          </cell>
        </row>
        <row r="32">
          <cell r="B32" t="str">
            <v>Fontanella</v>
          </cell>
          <cell r="C32" t="str">
            <v>Kategorie C: Eingeschränkte Eignung für den Alltagsradverkehr</v>
          </cell>
        </row>
        <row r="33">
          <cell r="B33" t="str">
            <v>Frastanz</v>
          </cell>
          <cell r="C33" t="str">
            <v>Kategorie A: Gute Eignung für innerörtlichen und überkommunalen Alltagsradverkehr</v>
          </cell>
        </row>
        <row r="34">
          <cell r="B34" t="str">
            <v>Frastanz - Amerlügern</v>
          </cell>
          <cell r="C34" t="str">
            <v>Kategorie C: Eingeschränkte Eignung für den Alltagsradverkehr</v>
          </cell>
        </row>
        <row r="35">
          <cell r="B35" t="str">
            <v>Frastanz - Fellengatter</v>
          </cell>
          <cell r="C35" t="str">
            <v>Kategorie C: Eingeschränkte Eignung für den Alltagsradverkehr</v>
          </cell>
        </row>
        <row r="36">
          <cell r="B36" t="str">
            <v>Frastanz - Frastaferders</v>
          </cell>
          <cell r="C36" t="str">
            <v>Kategorie C: Eingeschränkte Eignung für den Alltagsradverkehr</v>
          </cell>
        </row>
        <row r="37">
          <cell r="B37" t="str">
            <v>Frastanz - Gampelün</v>
          </cell>
          <cell r="C37" t="str">
            <v>Kategorie C: Eingeschränkte Eignung für den Alltagsradverkehr</v>
          </cell>
        </row>
        <row r="38">
          <cell r="B38" t="str">
            <v>Fraxern</v>
          </cell>
          <cell r="C38" t="str">
            <v>Kategorie C: Eingeschränkte Eignung für den Alltagsradverkehr</v>
          </cell>
        </row>
        <row r="39">
          <cell r="B39" t="str">
            <v>Fußach</v>
          </cell>
          <cell r="C39" t="str">
            <v>Kategorie A: Gute Eignung für innerörtlichen und überkommunalen Alltagsradverkehr</v>
          </cell>
        </row>
        <row r="40">
          <cell r="B40" t="str">
            <v>Gaißau</v>
          </cell>
          <cell r="C40" t="str">
            <v>Kategorie A: Gute Eignung für innerörtlichen und überkommunalen Alltagsradverkehr</v>
          </cell>
        </row>
        <row r="41">
          <cell r="B41" t="str">
            <v>Gaschurn</v>
          </cell>
          <cell r="C41" t="str">
            <v>Kategorie B: Gute Eignung für den innerörtlichen Alltagsradverkehr</v>
          </cell>
        </row>
        <row r="42">
          <cell r="B42" t="str">
            <v>Göfis</v>
          </cell>
          <cell r="C42" t="str">
            <v>Kategorie B: Gute Eignung für den innerörtlichen Alltagsradverkehr</v>
          </cell>
        </row>
        <row r="43">
          <cell r="B43" t="str">
            <v>Götzis</v>
          </cell>
          <cell r="C43" t="str">
            <v>Kategorie A: Gute Eignung für innerörtlichen und überkommunalen Alltagsradverkehr</v>
          </cell>
        </row>
        <row r="44">
          <cell r="B44" t="str">
            <v>Götzis - Meschach</v>
          </cell>
          <cell r="C44" t="str">
            <v>Kategorie C: Eingeschränkte Eignung für den Alltagsradverkehr</v>
          </cell>
        </row>
        <row r="45">
          <cell r="B45" t="str">
            <v>Hard</v>
          </cell>
          <cell r="C45" t="str">
            <v>Kategorie A: Gute Eignung für innerörtlichen und überkommunalen Alltagsradverkehr</v>
          </cell>
        </row>
        <row r="46">
          <cell r="B46" t="str">
            <v>Hittisau</v>
          </cell>
          <cell r="C46" t="str">
            <v>Kategorie B: Gute Eignung für den innerörtlichen Alltagsradverkehr</v>
          </cell>
        </row>
        <row r="47">
          <cell r="B47" t="str">
            <v>Höchst</v>
          </cell>
          <cell r="C47" t="str">
            <v>Kategorie A: Gute Eignung für innerörtlichen und überkommunalen Alltagsradverkehr</v>
          </cell>
        </row>
        <row r="48">
          <cell r="B48" t="str">
            <v>Hohenems</v>
          </cell>
          <cell r="C48" t="str">
            <v>Kategorie A: Gute Eignung für innerörtlichen und überkommunalen Alltagsradverkehr</v>
          </cell>
        </row>
        <row r="49">
          <cell r="B49" t="str">
            <v>Hohenems - Reuthe</v>
          </cell>
          <cell r="C49" t="str">
            <v>Kategorie C: Eingeschränkte Eignung für den Alltagsradverkehr</v>
          </cell>
        </row>
        <row r="50">
          <cell r="B50" t="str">
            <v>Hohenweiler</v>
          </cell>
          <cell r="C50" t="str">
            <v>Kategorie A: Gute Eignung für innerörtlichen und überkommunalen Alltagsradverkehr</v>
          </cell>
        </row>
        <row r="51">
          <cell r="B51" t="str">
            <v>Hörbranz</v>
          </cell>
          <cell r="C51" t="str">
            <v>Kategorie A: Gute Eignung für innerörtlichen und überkommunalen Alltagsradverkehr</v>
          </cell>
        </row>
        <row r="52">
          <cell r="B52" t="str">
            <v>Innerbraz</v>
          </cell>
          <cell r="C52" t="str">
            <v>Kategorie B: Gute Eignung für den innerörtlichen Alltagsradverkehr</v>
          </cell>
        </row>
        <row r="53">
          <cell r="B53" t="str">
            <v>Kennelbach</v>
          </cell>
          <cell r="C53" t="str">
            <v>Kategorie A: Gute Eignung für innerörtlichen und überkommunalen Alltagsradverkehr</v>
          </cell>
        </row>
        <row r="54">
          <cell r="B54" t="str">
            <v>Klaus</v>
          </cell>
          <cell r="C54" t="str">
            <v>Kategorie A: Gute Eignung für innerörtlichen und überkommunalen Alltagsradverkehr</v>
          </cell>
        </row>
        <row r="55">
          <cell r="B55" t="str">
            <v>Klösterle</v>
          </cell>
          <cell r="C55" t="str">
            <v>Kategorie B: Gute Eignung für den innerörtlichen Alltagsradverkehr</v>
          </cell>
        </row>
        <row r="56">
          <cell r="B56" t="str">
            <v>Koblach</v>
          </cell>
          <cell r="C56" t="str">
            <v>Kategorie A: Gute Eignung für innerörtlichen und überkommunalen Alltagsradverkehr</v>
          </cell>
        </row>
        <row r="57">
          <cell r="B57" t="str">
            <v>Krumbach</v>
          </cell>
          <cell r="C57" t="str">
            <v>Kategorie B: Gute Eignung für den innerörtlichen Alltagsradverkehr</v>
          </cell>
        </row>
        <row r="58">
          <cell r="B58" t="str">
            <v>Langen bei Bregenz</v>
          </cell>
          <cell r="C58" t="str">
            <v>Kategorie B: Gute Eignung für den innerörtlichen Alltagsradverkehr</v>
          </cell>
        </row>
        <row r="59">
          <cell r="B59" t="str">
            <v>Langenegg</v>
          </cell>
          <cell r="C59" t="str">
            <v>Kategorie B: Gute Eignung für den innerörtlichen Alltagsradverkehr</v>
          </cell>
        </row>
        <row r="60">
          <cell r="B60" t="str">
            <v>Laterns</v>
          </cell>
          <cell r="C60" t="str">
            <v>Kategorie C: Eingeschränkte Eignung für den Alltagsradverkehr</v>
          </cell>
        </row>
        <row r="61">
          <cell r="B61" t="str">
            <v>Lauterach</v>
          </cell>
          <cell r="C61" t="str">
            <v>Kategorie A: Gute Eignung für innerörtlichen und überkommunalen Alltagsradverkehr</v>
          </cell>
        </row>
        <row r="62">
          <cell r="B62" t="str">
            <v>Lech</v>
          </cell>
          <cell r="C62" t="str">
            <v>Kategorie B: Gute Eignung für den innerörtlichen Alltagsradverkehr</v>
          </cell>
        </row>
        <row r="63">
          <cell r="B63" t="str">
            <v>Lingenau</v>
          </cell>
          <cell r="C63" t="str">
            <v>Kategorie B: Gute Eignung für den innerörtlichen Alltagsradverkehr</v>
          </cell>
        </row>
        <row r="64">
          <cell r="B64" t="str">
            <v>Lochau</v>
          </cell>
          <cell r="C64" t="str">
            <v>Kategorie A: Gute Eignung für innerörtlichen und überkommunalen Alltagsradverkehr</v>
          </cell>
        </row>
        <row r="65">
          <cell r="B65" t="str">
            <v>Lorüns</v>
          </cell>
          <cell r="C65" t="str">
            <v>Kategorie A: Gute Eignung für innerörtlichen und überkommunalen Alltagsradverkehr</v>
          </cell>
        </row>
        <row r="66">
          <cell r="B66" t="str">
            <v>Ludesch</v>
          </cell>
          <cell r="C66" t="str">
            <v>Kategorie A: Gute Eignung für innerörtlichen und überkommunalen Alltagsradverkehr</v>
          </cell>
        </row>
        <row r="67">
          <cell r="B67" t="str">
            <v>Lustenau</v>
          </cell>
          <cell r="C67" t="str">
            <v>Kategorie A: Gute Eignung für innerörtlichen und überkommunalen Alltagsradverkehr</v>
          </cell>
        </row>
        <row r="68">
          <cell r="B68" t="str">
            <v>Mäder</v>
          </cell>
          <cell r="C68" t="str">
            <v>Kategorie A: Gute Eignung für innerörtlichen und überkommunalen Alltagsradverkehr</v>
          </cell>
        </row>
        <row r="69">
          <cell r="B69" t="str">
            <v>Meiningen</v>
          </cell>
          <cell r="C69" t="str">
            <v>Kategorie A: Gute Eignung für innerörtlichen und überkommunalen Alltagsradverkehr</v>
          </cell>
        </row>
        <row r="70">
          <cell r="B70" t="str">
            <v>Mellau</v>
          </cell>
          <cell r="C70" t="str">
            <v>Kategorie B: Gute Eignung für den innerörtlichen Alltagsradverkehr</v>
          </cell>
        </row>
        <row r="71">
          <cell r="B71" t="str">
            <v>Mittelberg</v>
          </cell>
          <cell r="C71" t="str">
            <v>Kategorie B: Gute Eignung für den innerörtlichen Alltagsradverkehr</v>
          </cell>
        </row>
        <row r="72">
          <cell r="B72" t="str">
            <v>Möggers</v>
          </cell>
          <cell r="C72" t="str">
            <v>Kategorie C: Eingeschränkte Eignung für den Alltagsradverkehr</v>
          </cell>
        </row>
        <row r="73">
          <cell r="B73" t="str">
            <v>Nenzing</v>
          </cell>
          <cell r="C73" t="str">
            <v>Kategorie A: Gute Eignung für innerörtlichen und überkommunalen Alltagsradverkehr</v>
          </cell>
        </row>
        <row r="74">
          <cell r="B74" t="str">
            <v>Nenzing - Gurtis</v>
          </cell>
          <cell r="C74" t="str">
            <v>Kategorie C: Eingeschränkte Eignung für den Alltagsradverkehr</v>
          </cell>
        </row>
        <row r="75">
          <cell r="B75" t="str">
            <v>Nenzing - Latz</v>
          </cell>
          <cell r="C75" t="str">
            <v>Kategorie C: Eingeschränkte Eignung für den Alltagsradverkehr</v>
          </cell>
        </row>
        <row r="76">
          <cell r="B76" t="str">
            <v>Nüziders</v>
          </cell>
          <cell r="C76" t="str">
            <v>Kategorie A: Gute Eignung für innerörtlichen und überkommunalen Alltagsradverkehr</v>
          </cell>
        </row>
        <row r="77">
          <cell r="B77" t="str">
            <v>Raggal</v>
          </cell>
          <cell r="C77" t="str">
            <v>Kategorie C: Eingeschränkte Eignung für den Alltagsradverkehr</v>
          </cell>
        </row>
        <row r="78">
          <cell r="B78" t="str">
            <v>Rankweil</v>
          </cell>
          <cell r="C78" t="str">
            <v>Kategorie A: Gute Eignung für innerörtlichen und überkommunalen Alltagsradverkehr</v>
          </cell>
        </row>
        <row r="79">
          <cell r="B79" t="str">
            <v>Reuthe</v>
          </cell>
          <cell r="C79" t="str">
            <v>Kategorie B: Gute Eignung für den innerörtlichen Alltagsradverkehr</v>
          </cell>
        </row>
        <row r="80">
          <cell r="B80" t="str">
            <v>Riefensberg</v>
          </cell>
          <cell r="C80" t="str">
            <v>Kategorie C: Eingeschränkte Eignung für den Alltagsradverkehr</v>
          </cell>
        </row>
        <row r="81">
          <cell r="B81" t="str">
            <v>Röns</v>
          </cell>
          <cell r="C81" t="str">
            <v>Kategorie C: Eingeschränkte Eignung für den Alltagsradverkehr</v>
          </cell>
        </row>
        <row r="82">
          <cell r="B82" t="str">
            <v>Röthis</v>
          </cell>
          <cell r="C82" t="str">
            <v>Kategorie A: Gute Eignung für innerörtlichen und überkommunalen Alltagsradverkehr</v>
          </cell>
        </row>
        <row r="83">
          <cell r="B83" t="str">
            <v>Satteins</v>
          </cell>
          <cell r="C83" t="str">
            <v>Kategorie A: Gute Eignung für innerörtlichen und überkommunalen Alltagsradverkehr</v>
          </cell>
        </row>
        <row r="84">
          <cell r="B84" t="str">
            <v>Schlins</v>
          </cell>
          <cell r="C84" t="str">
            <v>Kategorie A: Gute Eignung für innerörtlichen und überkommunalen Alltagsradverkehr</v>
          </cell>
        </row>
        <row r="85">
          <cell r="B85" t="str">
            <v>Schnepfau</v>
          </cell>
          <cell r="C85" t="str">
            <v>Kategorie B: Gute Eignung für den innerörtlichen Alltagsradverkehr</v>
          </cell>
        </row>
        <row r="86">
          <cell r="B86" t="str">
            <v>Schnifis</v>
          </cell>
          <cell r="C86" t="str">
            <v>Kategorie C: Eingeschränkte Eignung für den Alltagsradverkehr</v>
          </cell>
        </row>
        <row r="87">
          <cell r="B87" t="str">
            <v>Schoppernau</v>
          </cell>
          <cell r="C87" t="str">
            <v>Kategorie B: Gute Eignung für den innerörtlichen Alltagsradverkehr</v>
          </cell>
        </row>
        <row r="88">
          <cell r="B88" t="str">
            <v>Schröcken</v>
          </cell>
          <cell r="C88" t="str">
            <v>Kategorie C: Eingeschränkte Eignung für den Alltagsradverkehr</v>
          </cell>
        </row>
        <row r="89">
          <cell r="B89" t="str">
            <v>Schruns</v>
          </cell>
          <cell r="C89" t="str">
            <v>Kategorie B: Gute Eignung für den innerörtlichen Alltagsradverkehr</v>
          </cell>
        </row>
        <row r="90">
          <cell r="B90" t="str">
            <v>Schwarzach</v>
          </cell>
          <cell r="C90" t="str">
            <v>Kategorie A: Gute Eignung für innerörtlichen und überkommunalen Alltagsradverkehr</v>
          </cell>
        </row>
        <row r="91">
          <cell r="B91" t="str">
            <v>Schwarzenberg</v>
          </cell>
          <cell r="C91" t="str">
            <v>Kategorie C: Eingeschränkte Eignung für den Alltagsradverkehr</v>
          </cell>
        </row>
        <row r="92">
          <cell r="B92" t="str">
            <v>Sibratsgfäll</v>
          </cell>
          <cell r="C92" t="str">
            <v>Kategorie C: Eingeschränkte Eignung für den Alltagsradverkehr</v>
          </cell>
        </row>
        <row r="93">
          <cell r="B93" t="str">
            <v>Silbertal</v>
          </cell>
          <cell r="C93" t="str">
            <v>Kategorie C: Eingeschränkte Eignung für den Alltagsradverkehr</v>
          </cell>
        </row>
        <row r="94">
          <cell r="B94" t="str">
            <v>Sonntag</v>
          </cell>
          <cell r="C94" t="str">
            <v>Kategorie C: Eingeschränkte Eignung für den Alltagsradverkehr</v>
          </cell>
        </row>
        <row r="95">
          <cell r="B95" t="str">
            <v>St. Anton im Montafon</v>
          </cell>
          <cell r="C95" t="str">
            <v>Kategorie B: Gute Eignung für den innerörtlichen Alltagsradverkehr</v>
          </cell>
        </row>
        <row r="96">
          <cell r="B96" t="str">
            <v>St. Gallenkirch</v>
          </cell>
          <cell r="C96" t="str">
            <v>Kategorie B: Gute Eignung für den innerörtlichen Alltagsradverkehr</v>
          </cell>
        </row>
        <row r="97">
          <cell r="B97" t="str">
            <v>St. Gerold</v>
          </cell>
          <cell r="C97" t="str">
            <v>Kategorie C: Eingeschränkte Eignung für den Alltagsradverkehr</v>
          </cell>
        </row>
        <row r="98">
          <cell r="B98" t="str">
            <v>Stallehr</v>
          </cell>
          <cell r="C98" t="str">
            <v>Kategorie A: Gute Eignung für innerörtlichen und überkommunalen Alltagsradverkehr</v>
          </cell>
        </row>
        <row r="99">
          <cell r="B99" t="str">
            <v>Sulz</v>
          </cell>
          <cell r="C99" t="str">
            <v>Kategorie A: Gute Eignung für innerörtlichen und überkommunalen Alltagsradverkehr</v>
          </cell>
        </row>
        <row r="100">
          <cell r="B100" t="str">
            <v>Sulzberg</v>
          </cell>
          <cell r="C100" t="str">
            <v>Kategorie B: Gute Eignung für den innerörtlichen Alltagsradverkehr</v>
          </cell>
        </row>
        <row r="101">
          <cell r="B101" t="str">
            <v>Thüringen</v>
          </cell>
          <cell r="C101" t="str">
            <v>Kategorie A: Gute Eignung für innerörtlichen und überkommunalen Alltagsradverkehr</v>
          </cell>
        </row>
        <row r="102">
          <cell r="B102" t="str">
            <v>Thüringerberg</v>
          </cell>
          <cell r="C102" t="str">
            <v>Kategorie C: Eingeschränkte Eignung für den Alltagsradverkehr</v>
          </cell>
        </row>
        <row r="103">
          <cell r="B103" t="str">
            <v>Tschagguns</v>
          </cell>
          <cell r="C103" t="str">
            <v>Kategorie B: Gute Eignung für den innerörtlichen Alltagsradverkehr</v>
          </cell>
        </row>
        <row r="104">
          <cell r="B104" t="str">
            <v>Übersaxen</v>
          </cell>
          <cell r="C104" t="str">
            <v>Kategorie C: Eingeschränkte Eignung für den Alltagsradverkehr</v>
          </cell>
        </row>
        <row r="105">
          <cell r="B105" t="str">
            <v>Vandans</v>
          </cell>
          <cell r="C105" t="str">
            <v>Kategorie B: Gute Eignung für den innerörtlichen Alltagsradverkehr</v>
          </cell>
        </row>
        <row r="106">
          <cell r="B106" t="str">
            <v>Viktorsberg</v>
          </cell>
          <cell r="C106" t="str">
            <v>Kategorie C: Eingeschränkte Eignung für den Alltagsradverkehr</v>
          </cell>
        </row>
        <row r="107">
          <cell r="B107" t="str">
            <v>Warth</v>
          </cell>
          <cell r="C107" t="str">
            <v>Kategorie C: Eingeschränkte Eignung für den Alltagsradverkehr</v>
          </cell>
        </row>
        <row r="108">
          <cell r="B108" t="str">
            <v>Weiler</v>
          </cell>
          <cell r="C108" t="str">
            <v>Kategorie A: Gute Eignung für innerörtlichen und überkommunalen Alltagsradverkehr</v>
          </cell>
        </row>
        <row r="109">
          <cell r="B109" t="str">
            <v>Wolfurt</v>
          </cell>
          <cell r="C109" t="str">
            <v>Kategorie A: Gute Eignung für innerörtlichen und überkommunalen Alltagsradverkehr</v>
          </cell>
        </row>
        <row r="110">
          <cell r="B110" t="str">
            <v>Zwischenwasser - Batschuns</v>
          </cell>
          <cell r="C110" t="str">
            <v>Kategorie C: Eingeschränkte Eignung für den Alltagsradverkehr</v>
          </cell>
        </row>
        <row r="111">
          <cell r="B111" t="str">
            <v>Zwischenwasser - Dafins</v>
          </cell>
          <cell r="C111" t="str">
            <v>Kategorie C: Eingeschränkte Eignung für den Alltagsradverkehr</v>
          </cell>
        </row>
        <row r="112">
          <cell r="B112" t="str">
            <v>Zwischenwasser - Muntlix</v>
          </cell>
          <cell r="C112" t="str">
            <v>Kategorie A: Gute Eignung für innerörtlichen und überkommunalen Alltagsradverkehr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ubau"/>
      <sheetName val="A. 1.1. "/>
      <sheetName val="A.1.3."/>
      <sheetName val="A.1.5"/>
      <sheetName val="A.1.5-1"/>
      <sheetName val="A.1-5-2"/>
      <sheetName val="B1 "/>
      <sheetName val="B.1b "/>
      <sheetName val="B.1.4 "/>
      <sheetName val="B1.6b"/>
      <sheetName val="C.1.1"/>
      <sheetName val="C.2.1"/>
      <sheetName val="D.1.1"/>
      <sheetName val="D1.2"/>
      <sheetName val="Kriterienkatalog"/>
    </sheetNames>
    <sheetDataSet>
      <sheetData sheetId="4">
        <row r="3">
          <cell r="A3" t="str">
            <v>Gebäudetyp</v>
          </cell>
          <cell r="B3" t="str">
            <v>Mitarbeiter Min</v>
          </cell>
          <cell r="C3" t="str">
            <v>Mitarbeiter Max</v>
          </cell>
          <cell r="D3" t="str">
            <v>Besucher Min</v>
          </cell>
          <cell r="E3" t="str">
            <v>Besucher Max</v>
          </cell>
          <cell r="F3" t="str">
            <v>Ausbildungsplatz Min</v>
          </cell>
          <cell r="G3" t="str">
            <v>Ausbildungsplatz Max</v>
          </cell>
          <cell r="H3" t="str">
            <v>Bezugsgröße 1</v>
          </cell>
          <cell r="I3" t="str">
            <v>Bezugsgröße 2</v>
          </cell>
          <cell r="J3" t="str">
            <v>Bezugsgröße 3</v>
          </cell>
        </row>
        <row r="4">
          <cell r="A4" t="str">
            <v>Verwaltungsgebäude</v>
          </cell>
          <cell r="B4">
            <v>0.2</v>
          </cell>
          <cell r="C4">
            <v>0.4</v>
          </cell>
          <cell r="D4">
            <v>0.1</v>
          </cell>
          <cell r="E4">
            <v>0.2</v>
          </cell>
          <cell r="F4">
            <v>0</v>
          </cell>
          <cell r="G4">
            <v>0</v>
          </cell>
          <cell r="H4" t="str">
            <v>Arbeitsplätze/Beschäftigte</v>
          </cell>
        </row>
        <row r="5">
          <cell r="A5" t="str">
            <v>Kindergarten</v>
          </cell>
          <cell r="B5">
            <v>0.5</v>
          </cell>
          <cell r="C5">
            <v>0.9</v>
          </cell>
          <cell r="D5">
            <v>0.1</v>
          </cell>
          <cell r="E5">
            <v>0.2</v>
          </cell>
          <cell r="F5">
            <v>0</v>
          </cell>
          <cell r="G5">
            <v>0</v>
          </cell>
          <cell r="H5" t="str">
            <v>Arbeitsplätze/Beschäftigte</v>
          </cell>
          <cell r="I5" t="str">
            <v>Ausbildungsplätze</v>
          </cell>
        </row>
        <row r="6">
          <cell r="A6" t="str">
            <v>Volksschule</v>
          </cell>
          <cell r="B6">
            <v>0.2</v>
          </cell>
          <cell r="C6">
            <v>0.6</v>
          </cell>
          <cell r="D6">
            <v>0</v>
          </cell>
          <cell r="E6">
            <v>0</v>
          </cell>
          <cell r="F6">
            <v>0.1</v>
          </cell>
          <cell r="G6">
            <v>0.2</v>
          </cell>
          <cell r="H6" t="str">
            <v>Arbeitsplätze/Beschäftigte</v>
          </cell>
          <cell r="I6" t="str">
            <v>Ausbildungsplätze</v>
          </cell>
        </row>
        <row r="7">
          <cell r="A7" t="str">
            <v>Mittelschule/Hauptschule</v>
          </cell>
          <cell r="B7">
            <v>0.2</v>
          </cell>
          <cell r="C7">
            <v>0.6</v>
          </cell>
          <cell r="D7">
            <v>0</v>
          </cell>
          <cell r="E7">
            <v>0</v>
          </cell>
          <cell r="F7">
            <v>0.6</v>
          </cell>
          <cell r="G7">
            <v>0.9</v>
          </cell>
          <cell r="H7" t="str">
            <v>Arbeitsplätze/Beschäftigte</v>
          </cell>
          <cell r="I7" t="str">
            <v>Ausbildungsplätze</v>
          </cell>
        </row>
        <row r="8">
          <cell r="A8" t="str">
            <v>Pflegeheim/Altersheim</v>
          </cell>
          <cell r="B8">
            <v>0.2</v>
          </cell>
          <cell r="C8">
            <v>0.4</v>
          </cell>
          <cell r="D8">
            <v>0.05</v>
          </cell>
          <cell r="E8">
            <v>0.1</v>
          </cell>
          <cell r="F8">
            <v>0</v>
          </cell>
          <cell r="G8">
            <v>0</v>
          </cell>
          <cell r="H8" t="str">
            <v>Arbeitsplätze/Beschäftigte</v>
          </cell>
          <cell r="J8" t="str">
            <v>Bewohner</v>
          </cell>
        </row>
      </sheetData>
      <sheetData sheetId="5">
        <row r="4">
          <cell r="A4" t="str">
            <v>Alberschwende</v>
          </cell>
          <cell r="B4" t="str">
            <v>Kategorie B: Gute Eignung für den innerörtlichen Alltagsradverkehr</v>
          </cell>
          <cell r="C4">
            <v>0.6</v>
          </cell>
        </row>
        <row r="5">
          <cell r="A5" t="str">
            <v>Altach</v>
          </cell>
          <cell r="B5" t="str">
            <v>Kategorie A: Gute Eignung für innerörtlichen und überkommunalen Alltagsradverkehr</v>
          </cell>
          <cell r="C5">
            <v>1</v>
          </cell>
        </row>
        <row r="6">
          <cell r="A6" t="str">
            <v>Andelsbuch</v>
          </cell>
          <cell r="B6" t="str">
            <v>Kategorie B: Gute Eignung für den innerörtlichen Alltagsradverkehr</v>
          </cell>
          <cell r="C6">
            <v>0.6</v>
          </cell>
        </row>
        <row r="7">
          <cell r="A7" t="str">
            <v>Au</v>
          </cell>
          <cell r="B7" t="str">
            <v>Kategorie B: Gute Eignung für den innerörtlichen Alltagsradverkehr</v>
          </cell>
          <cell r="C7">
            <v>0.6</v>
          </cell>
        </row>
        <row r="8">
          <cell r="A8" t="str">
            <v>Bartholomäberg</v>
          </cell>
          <cell r="B8" t="str">
            <v>Kategorie C: Eingeschränkte Eignung für den Alltagsradverkehr</v>
          </cell>
          <cell r="C8">
            <v>0.2</v>
          </cell>
        </row>
        <row r="9">
          <cell r="A9" t="str">
            <v>Bezau</v>
          </cell>
          <cell r="B9" t="str">
            <v>Kategorie B: Gute Eignung für den innerörtlichen Alltagsradverkehr</v>
          </cell>
          <cell r="C9">
            <v>0.6</v>
          </cell>
        </row>
        <row r="10">
          <cell r="A10" t="str">
            <v>Bildstein</v>
          </cell>
          <cell r="B10" t="str">
            <v>Kategorie C: Eingeschränkte Eignung für den Alltagsradverkehr</v>
          </cell>
          <cell r="C10">
            <v>0.2</v>
          </cell>
        </row>
        <row r="11">
          <cell r="A11" t="str">
            <v>Bizau</v>
          </cell>
          <cell r="B11" t="str">
            <v>Kategorie B: Gute Eignung für den innerörtlichen Alltagsradverkehr</v>
          </cell>
          <cell r="C11">
            <v>0.6</v>
          </cell>
        </row>
        <row r="12">
          <cell r="A12" t="str">
            <v>Blons</v>
          </cell>
          <cell r="B12" t="str">
            <v>Kategorie C: Eingeschränkte Eignung für den Alltagsradverkehr</v>
          </cell>
          <cell r="C12">
            <v>0.2</v>
          </cell>
        </row>
        <row r="13">
          <cell r="A13" t="str">
            <v>Bludenz</v>
          </cell>
          <cell r="B13" t="str">
            <v>Kategorie A: Gute Eignung für innerörtlichen und überkommunalen Alltagsradverkehr</v>
          </cell>
          <cell r="C13">
            <v>1</v>
          </cell>
        </row>
        <row r="14">
          <cell r="A14" t="str">
            <v>Bludesch</v>
          </cell>
          <cell r="B14" t="str">
            <v>Kategorie A: Gute Eignung für innerörtlichen und überkommunalen Alltagsradverkehr</v>
          </cell>
          <cell r="C14">
            <v>1</v>
          </cell>
        </row>
        <row r="15">
          <cell r="A15" t="str">
            <v>Brand</v>
          </cell>
          <cell r="B15" t="str">
            <v>Kategorie C: Eingeschränkte Eignung für den Alltagsradverkehr</v>
          </cell>
          <cell r="C15">
            <v>0.2</v>
          </cell>
        </row>
        <row r="16">
          <cell r="A16" t="str">
            <v>Bregenz</v>
          </cell>
          <cell r="B16" t="str">
            <v>Kategorie A: Gute Eignung für innerörtlichen und überkommunalen Alltagsradverkehr</v>
          </cell>
          <cell r="C16">
            <v>1</v>
          </cell>
        </row>
        <row r="17">
          <cell r="A17" t="str">
            <v>Bregenz - Fluh</v>
          </cell>
          <cell r="B17" t="str">
            <v>Kategorie C: Eingeschränkte Eignung für den Alltagsradverkehr</v>
          </cell>
          <cell r="C17">
            <v>0.2</v>
          </cell>
        </row>
        <row r="18">
          <cell r="A18" t="str">
            <v>Buch</v>
          </cell>
          <cell r="B18" t="str">
            <v>Kategorie C: Eingeschränkte Eignung für den Alltagsradverkehr</v>
          </cell>
          <cell r="C18">
            <v>0.2</v>
          </cell>
        </row>
        <row r="19">
          <cell r="A19" t="str">
            <v>Bürs</v>
          </cell>
          <cell r="B19" t="str">
            <v>Kategorie A: Gute Eignung für innerörtlichen und überkommunalen Alltagsradverkehr</v>
          </cell>
          <cell r="C19">
            <v>1</v>
          </cell>
        </row>
        <row r="20">
          <cell r="A20" t="str">
            <v>Bürserberg</v>
          </cell>
          <cell r="B20" t="str">
            <v>Kategorie C: Eingeschränkte Eignung für den Alltagsradverkehr</v>
          </cell>
          <cell r="C20">
            <v>0.2</v>
          </cell>
        </row>
        <row r="21">
          <cell r="A21" t="str">
            <v>Dalaas</v>
          </cell>
          <cell r="B21" t="str">
            <v>Kategorie B: Gute Eignung für den innerörtlichen Alltagsradverkehr</v>
          </cell>
          <cell r="C21">
            <v>0.6</v>
          </cell>
        </row>
        <row r="22">
          <cell r="A22" t="str">
            <v>Damüls</v>
          </cell>
          <cell r="B22" t="str">
            <v>Kategorie C: Eingeschränkte Eignung für den Alltagsradverkehr</v>
          </cell>
          <cell r="C22">
            <v>0.2</v>
          </cell>
        </row>
        <row r="23">
          <cell r="A23" t="str">
            <v>Donbirn - Watzenegg</v>
          </cell>
          <cell r="B23" t="str">
            <v>Kategorie B: Gute Eignung für den innerörtlichen Alltagsradverkehr</v>
          </cell>
          <cell r="C23">
            <v>0.6</v>
          </cell>
        </row>
        <row r="24">
          <cell r="A24" t="str">
            <v>Doren</v>
          </cell>
          <cell r="B24" t="str">
            <v>Kategorie B: Gute Eignung für den innerörtlichen Alltagsradverkehr</v>
          </cell>
          <cell r="C24">
            <v>0.6</v>
          </cell>
        </row>
        <row r="25">
          <cell r="A25" t="str">
            <v>Dornbirn</v>
          </cell>
          <cell r="B25" t="str">
            <v>Kategorie A: Gute Eignung für innerörtlichen und überkommunalen Alltagsradverkehr</v>
          </cell>
          <cell r="C25">
            <v>1</v>
          </cell>
        </row>
        <row r="26">
          <cell r="A26" t="str">
            <v>Dornbirn - Ebnit</v>
          </cell>
          <cell r="B26" t="str">
            <v>Kategorie C: Eingeschränkte Eignung für den Alltagsradverkehr</v>
          </cell>
          <cell r="C26">
            <v>0.2</v>
          </cell>
        </row>
        <row r="27">
          <cell r="A27" t="str">
            <v>Dornbirn - Kehlegg</v>
          </cell>
          <cell r="B27" t="str">
            <v>Kategorie B: Gute Eignung für den innerörtlichen Alltagsradverkehr</v>
          </cell>
          <cell r="C27">
            <v>0.6</v>
          </cell>
        </row>
        <row r="28">
          <cell r="A28" t="str">
            <v>Düns</v>
          </cell>
          <cell r="B28" t="str">
            <v>Kategorie C: Eingeschränkte Eignung für den Alltagsradverkehr</v>
          </cell>
          <cell r="C28">
            <v>0.2</v>
          </cell>
        </row>
        <row r="29">
          <cell r="A29" t="str">
            <v>Dünserberg</v>
          </cell>
          <cell r="B29" t="str">
            <v>Kategorie C: Eingeschränkte Eignung für den Alltagsradverkehr</v>
          </cell>
          <cell r="C29">
            <v>0.2</v>
          </cell>
        </row>
        <row r="30">
          <cell r="A30" t="str">
            <v>Egg</v>
          </cell>
          <cell r="B30" t="str">
            <v>Kategorie B: Gute Eignung für den innerörtlichen Alltagsradverkehr</v>
          </cell>
          <cell r="C30">
            <v>0.6</v>
          </cell>
        </row>
        <row r="31">
          <cell r="A31" t="str">
            <v>Eichenberg</v>
          </cell>
          <cell r="B31" t="str">
            <v>Kategorie C: Eingeschränkte Eignung für den Alltagsradverkehr</v>
          </cell>
          <cell r="C31">
            <v>0.2</v>
          </cell>
        </row>
        <row r="32">
          <cell r="A32" t="str">
            <v>Feldkirch</v>
          </cell>
          <cell r="B32" t="str">
            <v>Kategorie A: Gute Eignung für innerörtlichen und überkommunalen Alltagsradverkehr</v>
          </cell>
          <cell r="C32">
            <v>1</v>
          </cell>
        </row>
        <row r="33">
          <cell r="A33" t="str">
            <v>Fontanella</v>
          </cell>
          <cell r="B33" t="str">
            <v>Kategorie C: Eingeschränkte Eignung für den Alltagsradverkehr</v>
          </cell>
          <cell r="C33">
            <v>0.2</v>
          </cell>
        </row>
        <row r="34">
          <cell r="A34" t="str">
            <v>Frastanz</v>
          </cell>
          <cell r="B34" t="str">
            <v>Kategorie A: Gute Eignung für innerörtlichen und überkommunalen Alltagsradverkehr</v>
          </cell>
          <cell r="C34">
            <v>1</v>
          </cell>
        </row>
        <row r="35">
          <cell r="A35" t="str">
            <v>Frastanz - Amerlügern</v>
          </cell>
          <cell r="B35" t="str">
            <v>Kategorie C: Eingeschränkte Eignung für den Alltagsradverkehr</v>
          </cell>
          <cell r="C35">
            <v>0.2</v>
          </cell>
        </row>
        <row r="36">
          <cell r="A36" t="str">
            <v>Frastanz - Fellengatter</v>
          </cell>
          <cell r="B36" t="str">
            <v>Kategorie C: Eingeschränkte Eignung für den Alltagsradverkehr</v>
          </cell>
          <cell r="C36">
            <v>0.2</v>
          </cell>
        </row>
        <row r="37">
          <cell r="A37" t="str">
            <v>Frastanz - Frastaferders</v>
          </cell>
          <cell r="B37" t="str">
            <v>Kategorie C: Eingeschränkte Eignung für den Alltagsradverkehr</v>
          </cell>
          <cell r="C37">
            <v>0.2</v>
          </cell>
        </row>
        <row r="38">
          <cell r="A38" t="str">
            <v>Frastanz - Gampelün</v>
          </cell>
          <cell r="B38" t="str">
            <v>Kategorie C: Eingeschränkte Eignung für den Alltagsradverkehr</v>
          </cell>
          <cell r="C38">
            <v>0.2</v>
          </cell>
        </row>
        <row r="39">
          <cell r="A39" t="str">
            <v>Fraxern</v>
          </cell>
          <cell r="B39" t="str">
            <v>Kategorie C: Eingeschränkte Eignung für den Alltagsradverkehr</v>
          </cell>
          <cell r="C39">
            <v>0.2</v>
          </cell>
        </row>
        <row r="40">
          <cell r="A40" t="str">
            <v>Fußach</v>
          </cell>
          <cell r="B40" t="str">
            <v>Kategorie A: Gute Eignung für innerörtlichen und überkommunalen Alltagsradverkehr</v>
          </cell>
          <cell r="C40">
            <v>1</v>
          </cell>
        </row>
        <row r="41">
          <cell r="A41" t="str">
            <v>Gaißau</v>
          </cell>
          <cell r="B41" t="str">
            <v>Kategorie A: Gute Eignung für innerörtlichen und überkommunalen Alltagsradverkehr</v>
          </cell>
          <cell r="C41">
            <v>1</v>
          </cell>
        </row>
        <row r="42">
          <cell r="A42" t="str">
            <v>Gaschurn</v>
          </cell>
          <cell r="B42" t="str">
            <v>Kategorie B: Gute Eignung für den innerörtlichen Alltagsradverkehr</v>
          </cell>
          <cell r="C42">
            <v>0.6</v>
          </cell>
        </row>
        <row r="43">
          <cell r="A43" t="str">
            <v>Göfis</v>
          </cell>
          <cell r="B43" t="str">
            <v>Kategorie B: Gute Eignung für den innerörtlichen Alltagsradverkehr</v>
          </cell>
          <cell r="C43">
            <v>0.6</v>
          </cell>
        </row>
        <row r="44">
          <cell r="A44" t="str">
            <v>Götzis</v>
          </cell>
          <cell r="B44" t="str">
            <v>Kategorie A: Gute Eignung für innerörtlichen und überkommunalen Alltagsradverkehr</v>
          </cell>
          <cell r="C44">
            <v>1</v>
          </cell>
        </row>
        <row r="45">
          <cell r="A45" t="str">
            <v>Götzis - Meschach</v>
          </cell>
          <cell r="B45" t="str">
            <v>Kategorie C: Eingeschränkte Eignung für den Alltagsradverkehr</v>
          </cell>
          <cell r="C45">
            <v>0.2</v>
          </cell>
        </row>
        <row r="46">
          <cell r="A46" t="str">
            <v>Hard</v>
          </cell>
          <cell r="B46" t="str">
            <v>Kategorie A: Gute Eignung für innerörtlichen und überkommunalen Alltagsradverkehr</v>
          </cell>
          <cell r="C46">
            <v>1</v>
          </cell>
        </row>
        <row r="47">
          <cell r="A47" t="str">
            <v>Hittisau</v>
          </cell>
          <cell r="B47" t="str">
            <v>Kategorie B: Gute Eignung für den innerörtlichen Alltagsradverkehr</v>
          </cell>
          <cell r="C47">
            <v>0.6</v>
          </cell>
        </row>
        <row r="48">
          <cell r="A48" t="str">
            <v>Höchst</v>
          </cell>
          <cell r="B48" t="str">
            <v>Kategorie A: Gute Eignung für innerörtlichen und überkommunalen Alltagsradverkehr</v>
          </cell>
          <cell r="C48">
            <v>1</v>
          </cell>
        </row>
        <row r="49">
          <cell r="A49" t="str">
            <v>Hohenems</v>
          </cell>
          <cell r="B49" t="str">
            <v>Kategorie A: Gute Eignung für innerörtlichen und überkommunalen Alltagsradverkehr</v>
          </cell>
          <cell r="C49">
            <v>1</v>
          </cell>
        </row>
        <row r="50">
          <cell r="A50" t="str">
            <v>Hohenems - Reuthe</v>
          </cell>
          <cell r="B50" t="str">
            <v>Kategorie C: Eingeschränkte Eignung für den Alltagsradverkehr</v>
          </cell>
          <cell r="C50">
            <v>0.2</v>
          </cell>
        </row>
        <row r="51">
          <cell r="A51" t="str">
            <v>Hohenweiler</v>
          </cell>
          <cell r="B51" t="str">
            <v>Kategorie A: Gute Eignung für innerörtlichen und überkommunalen Alltagsradverkehr</v>
          </cell>
          <cell r="C51">
            <v>1</v>
          </cell>
        </row>
        <row r="52">
          <cell r="A52" t="str">
            <v>Hörbranz</v>
          </cell>
          <cell r="B52" t="str">
            <v>Kategorie A: Gute Eignung für innerörtlichen und überkommunalen Alltagsradverkehr</v>
          </cell>
          <cell r="C52">
            <v>1</v>
          </cell>
        </row>
        <row r="53">
          <cell r="A53" t="str">
            <v>Innerbraz</v>
          </cell>
          <cell r="B53" t="str">
            <v>Kategorie B: Gute Eignung für den innerörtlichen Alltagsradverkehr</v>
          </cell>
          <cell r="C53">
            <v>0.6</v>
          </cell>
        </row>
        <row r="54">
          <cell r="A54" t="str">
            <v>Kennelbach</v>
          </cell>
          <cell r="B54" t="str">
            <v>Kategorie A: Gute Eignung für innerörtlichen und überkommunalen Alltagsradverkehr</v>
          </cell>
          <cell r="C54">
            <v>1</v>
          </cell>
        </row>
        <row r="55">
          <cell r="A55" t="str">
            <v>Klaus</v>
          </cell>
          <cell r="B55" t="str">
            <v>Kategorie A: Gute Eignung für innerörtlichen und überkommunalen Alltagsradverkehr</v>
          </cell>
          <cell r="C55">
            <v>1</v>
          </cell>
        </row>
        <row r="56">
          <cell r="A56" t="str">
            <v>Klösterle</v>
          </cell>
          <cell r="B56" t="str">
            <v>Kategorie B: Gute Eignung für den innerörtlichen Alltagsradverkehr</v>
          </cell>
          <cell r="C56">
            <v>0.6</v>
          </cell>
        </row>
        <row r="57">
          <cell r="A57" t="str">
            <v>Koblach</v>
          </cell>
          <cell r="B57" t="str">
            <v>Kategorie A: Gute Eignung für innerörtlichen und überkommunalen Alltagsradverkehr</v>
          </cell>
          <cell r="C57">
            <v>1</v>
          </cell>
        </row>
        <row r="58">
          <cell r="A58" t="str">
            <v>Krumbach</v>
          </cell>
          <cell r="B58" t="str">
            <v>Kategorie B: Gute Eignung für den innerörtlichen Alltagsradverkehr</v>
          </cell>
          <cell r="C58">
            <v>0.6</v>
          </cell>
        </row>
        <row r="59">
          <cell r="A59" t="str">
            <v>Langen bei Bregenz</v>
          </cell>
          <cell r="B59" t="str">
            <v>Kategorie B: Gute Eignung für den innerörtlichen Alltagsradverkehr</v>
          </cell>
          <cell r="C59">
            <v>0.6</v>
          </cell>
        </row>
        <row r="60">
          <cell r="A60" t="str">
            <v>Langenegg</v>
          </cell>
          <cell r="B60" t="str">
            <v>Kategorie B: Gute Eignung für den innerörtlichen Alltagsradverkehr</v>
          </cell>
          <cell r="C60">
            <v>0.6</v>
          </cell>
        </row>
        <row r="61">
          <cell r="A61" t="str">
            <v>Laterns</v>
          </cell>
          <cell r="B61" t="str">
            <v>Kategorie C: Eingeschränkte Eignung für den Alltagsradverkehr</v>
          </cell>
          <cell r="C61">
            <v>0.2</v>
          </cell>
        </row>
        <row r="62">
          <cell r="A62" t="str">
            <v>Lauterach</v>
          </cell>
          <cell r="B62" t="str">
            <v>Kategorie A: Gute Eignung für innerörtlichen und überkommunalen Alltagsradverkehr</v>
          </cell>
          <cell r="C62">
            <v>1</v>
          </cell>
        </row>
        <row r="63">
          <cell r="A63" t="str">
            <v>Lech</v>
          </cell>
          <cell r="B63" t="str">
            <v>Kategorie B: Gute Eignung für den innerörtlichen Alltagsradverkehr</v>
          </cell>
          <cell r="C63">
            <v>0.6</v>
          </cell>
        </row>
        <row r="64">
          <cell r="A64" t="str">
            <v>Lingenau</v>
          </cell>
          <cell r="B64" t="str">
            <v>Kategorie B: Gute Eignung für den innerörtlichen Alltagsradverkehr</v>
          </cell>
          <cell r="C64">
            <v>0.6</v>
          </cell>
        </row>
        <row r="65">
          <cell r="A65" t="str">
            <v>Lochau</v>
          </cell>
          <cell r="B65" t="str">
            <v>Kategorie A: Gute Eignung für innerörtlichen und überkommunalen Alltagsradverkehr</v>
          </cell>
          <cell r="C65">
            <v>1</v>
          </cell>
        </row>
        <row r="66">
          <cell r="A66" t="str">
            <v>Lorüns</v>
          </cell>
          <cell r="B66" t="str">
            <v>Kategorie A: Gute Eignung für innerörtlichen und überkommunalen Alltagsradverkehr</v>
          </cell>
          <cell r="C66">
            <v>1</v>
          </cell>
        </row>
        <row r="67">
          <cell r="A67" t="str">
            <v>Ludesch</v>
          </cell>
          <cell r="B67" t="str">
            <v>Kategorie A: Gute Eignung für innerörtlichen und überkommunalen Alltagsradverkehr</v>
          </cell>
          <cell r="C67">
            <v>1</v>
          </cell>
        </row>
        <row r="68">
          <cell r="A68" t="str">
            <v>Lustenau</v>
          </cell>
          <cell r="B68" t="str">
            <v>Kategorie A: Gute Eignung für innerörtlichen und überkommunalen Alltagsradverkehr</v>
          </cell>
          <cell r="C68">
            <v>1</v>
          </cell>
        </row>
        <row r="69">
          <cell r="A69" t="str">
            <v>Mäder</v>
          </cell>
          <cell r="B69" t="str">
            <v>Kategorie A: Gute Eignung für innerörtlichen und überkommunalen Alltagsradverkehr</v>
          </cell>
          <cell r="C69">
            <v>1</v>
          </cell>
        </row>
        <row r="70">
          <cell r="A70" t="str">
            <v>Meiningen</v>
          </cell>
          <cell r="B70" t="str">
            <v>Kategorie A: Gute Eignung für innerörtlichen und überkommunalen Alltagsradverkehr</v>
          </cell>
          <cell r="C70">
            <v>1</v>
          </cell>
        </row>
        <row r="71">
          <cell r="A71" t="str">
            <v>Mellau</v>
          </cell>
          <cell r="B71" t="str">
            <v>Kategorie B: Gute Eignung für den innerörtlichen Alltagsradverkehr</v>
          </cell>
          <cell r="C71">
            <v>0.6</v>
          </cell>
        </row>
        <row r="72">
          <cell r="A72" t="str">
            <v>Mittelberg</v>
          </cell>
          <cell r="B72" t="str">
            <v>Kategorie B: Gute Eignung für den innerörtlichen Alltagsradverkehr</v>
          </cell>
          <cell r="C72">
            <v>0.6</v>
          </cell>
        </row>
        <row r="73">
          <cell r="A73" t="str">
            <v>Möggers</v>
          </cell>
          <cell r="B73" t="str">
            <v>Kategorie C: Eingeschränkte Eignung für den Alltagsradverkehr</v>
          </cell>
          <cell r="C73">
            <v>0.2</v>
          </cell>
        </row>
        <row r="74">
          <cell r="A74" t="str">
            <v>Nenzing</v>
          </cell>
          <cell r="B74" t="str">
            <v>Kategorie A: Gute Eignung für innerörtlichen und überkommunalen Alltagsradverkehr</v>
          </cell>
          <cell r="C74">
            <v>1</v>
          </cell>
        </row>
        <row r="75">
          <cell r="A75" t="str">
            <v>Nenzing - Gurtis</v>
          </cell>
          <cell r="B75" t="str">
            <v>Kategorie C: Eingeschränkte Eignung für den Alltagsradverkehr</v>
          </cell>
          <cell r="C75">
            <v>0.2</v>
          </cell>
        </row>
        <row r="76">
          <cell r="A76" t="str">
            <v>Nenzing - Latz</v>
          </cell>
          <cell r="B76" t="str">
            <v>Kategorie C: Eingeschränkte Eignung für den Alltagsradverkehr</v>
          </cell>
          <cell r="C76">
            <v>0.2</v>
          </cell>
        </row>
        <row r="77">
          <cell r="A77" t="str">
            <v>Nüziders</v>
          </cell>
          <cell r="B77" t="str">
            <v>Kategorie A: Gute Eignung für innerörtlichen und überkommunalen Alltagsradverkehr</v>
          </cell>
          <cell r="C77">
            <v>1</v>
          </cell>
        </row>
        <row r="78">
          <cell r="A78" t="str">
            <v>Raggal</v>
          </cell>
          <cell r="B78" t="str">
            <v>Kategorie C: Eingeschränkte Eignung für den Alltagsradverkehr</v>
          </cell>
          <cell r="C78">
            <v>0.2</v>
          </cell>
        </row>
        <row r="79">
          <cell r="A79" t="str">
            <v>Rankweil</v>
          </cell>
          <cell r="B79" t="str">
            <v>Kategorie A: Gute Eignung für innerörtlichen und überkommunalen Alltagsradverkehr</v>
          </cell>
          <cell r="C79">
            <v>1</v>
          </cell>
        </row>
        <row r="80">
          <cell r="A80" t="str">
            <v>Reuthe</v>
          </cell>
          <cell r="B80" t="str">
            <v>Kategorie B: Gute Eignung für den innerörtlichen Alltagsradverkehr</v>
          </cell>
          <cell r="C80">
            <v>0.6</v>
          </cell>
        </row>
        <row r="81">
          <cell r="A81" t="str">
            <v>Riefensberg</v>
          </cell>
          <cell r="B81" t="str">
            <v>Kategorie C: Eingeschränkte Eignung für den Alltagsradverkehr</v>
          </cell>
          <cell r="C81">
            <v>0.2</v>
          </cell>
        </row>
        <row r="82">
          <cell r="A82" t="str">
            <v>Röns</v>
          </cell>
          <cell r="B82" t="str">
            <v>Kategorie C: Eingeschränkte Eignung für den Alltagsradverkehr</v>
          </cell>
          <cell r="C82">
            <v>0.2</v>
          </cell>
        </row>
        <row r="83">
          <cell r="A83" t="str">
            <v>Röthis</v>
          </cell>
          <cell r="B83" t="str">
            <v>Kategorie A: Gute Eignung für innerörtlichen und überkommunalen Alltagsradverkehr</v>
          </cell>
          <cell r="C83">
            <v>1</v>
          </cell>
        </row>
        <row r="84">
          <cell r="A84" t="str">
            <v>Satteins</v>
          </cell>
          <cell r="B84" t="str">
            <v>Kategorie A: Gute Eignung für innerörtlichen und überkommunalen Alltagsradverkehr</v>
          </cell>
          <cell r="C84">
            <v>1</v>
          </cell>
        </row>
        <row r="85">
          <cell r="A85" t="str">
            <v>Schlins</v>
          </cell>
          <cell r="B85" t="str">
            <v>Kategorie A: Gute Eignung für innerörtlichen und überkommunalen Alltagsradverkehr</v>
          </cell>
          <cell r="C85">
            <v>1</v>
          </cell>
        </row>
        <row r="86">
          <cell r="A86" t="str">
            <v>Schnepfau</v>
          </cell>
          <cell r="B86" t="str">
            <v>Kategorie B: Gute Eignung für den innerörtlichen Alltagsradverkehr</v>
          </cell>
          <cell r="C86">
            <v>0.6</v>
          </cell>
        </row>
        <row r="87">
          <cell r="A87" t="str">
            <v>Schnifis</v>
          </cell>
          <cell r="B87" t="str">
            <v>Kategorie C: Eingeschränkte Eignung für den Alltagsradverkehr</v>
          </cell>
          <cell r="C87">
            <v>0.2</v>
          </cell>
        </row>
        <row r="88">
          <cell r="A88" t="str">
            <v>Schoppernau</v>
          </cell>
          <cell r="B88" t="str">
            <v>Kategorie B: Gute Eignung für den innerörtlichen Alltagsradverkehr</v>
          </cell>
          <cell r="C88">
            <v>0.6</v>
          </cell>
        </row>
        <row r="89">
          <cell r="A89" t="str">
            <v>Schröcken</v>
          </cell>
          <cell r="B89" t="str">
            <v>Kategorie C: Eingeschränkte Eignung für den Alltagsradverkehr</v>
          </cell>
          <cell r="C89">
            <v>0.2</v>
          </cell>
        </row>
        <row r="90">
          <cell r="A90" t="str">
            <v>Schruns</v>
          </cell>
          <cell r="B90" t="str">
            <v>Kategorie B: Gute Eignung für den innerörtlichen Alltagsradverkehr</v>
          </cell>
          <cell r="C90">
            <v>0.6</v>
          </cell>
        </row>
        <row r="91">
          <cell r="A91" t="str">
            <v>Schwarzach</v>
          </cell>
          <cell r="B91" t="str">
            <v>Kategorie A: Gute Eignung für innerörtlichen und überkommunalen Alltagsradverkehr</v>
          </cell>
          <cell r="C91">
            <v>1</v>
          </cell>
        </row>
        <row r="92">
          <cell r="A92" t="str">
            <v>Schwarzenberg</v>
          </cell>
          <cell r="B92" t="str">
            <v>Kategorie C: Eingeschränkte Eignung für den Alltagsradverkehr</v>
          </cell>
          <cell r="C92">
            <v>0.2</v>
          </cell>
        </row>
        <row r="93">
          <cell r="A93" t="str">
            <v>Sibratsgfäll</v>
          </cell>
          <cell r="B93" t="str">
            <v>Kategorie C: Eingeschränkte Eignung für den Alltagsradverkehr</v>
          </cell>
          <cell r="C93">
            <v>0.2</v>
          </cell>
        </row>
        <row r="94">
          <cell r="A94" t="str">
            <v>Silbertal</v>
          </cell>
          <cell r="B94" t="str">
            <v>Kategorie C: Eingeschränkte Eignung für den Alltagsradverkehr</v>
          </cell>
          <cell r="C94">
            <v>0.2</v>
          </cell>
        </row>
        <row r="95">
          <cell r="A95" t="str">
            <v>Sonntag</v>
          </cell>
          <cell r="B95" t="str">
            <v>Kategorie C: Eingeschränkte Eignung für den Alltagsradverkehr</v>
          </cell>
          <cell r="C95">
            <v>0.2</v>
          </cell>
        </row>
        <row r="96">
          <cell r="A96" t="str">
            <v>St. Anton im Montafon</v>
          </cell>
          <cell r="B96" t="str">
            <v>Kategorie B: Gute Eignung für den innerörtlichen Alltagsradverkehr</v>
          </cell>
          <cell r="C96">
            <v>0.6</v>
          </cell>
        </row>
        <row r="97">
          <cell r="A97" t="str">
            <v>St. Gallenkirch</v>
          </cell>
          <cell r="B97" t="str">
            <v>Kategorie B: Gute Eignung für den innerörtlichen Alltagsradverkehr</v>
          </cell>
          <cell r="C97">
            <v>0.6</v>
          </cell>
        </row>
        <row r="98">
          <cell r="A98" t="str">
            <v>St. Gerold</v>
          </cell>
          <cell r="B98" t="str">
            <v>Kategorie C: Eingeschränkte Eignung für den Alltagsradverkehr</v>
          </cell>
          <cell r="C98">
            <v>0.2</v>
          </cell>
        </row>
        <row r="99">
          <cell r="A99" t="str">
            <v>Stallehr</v>
          </cell>
          <cell r="B99" t="str">
            <v>Kategorie A: Gute Eignung für innerörtlichen und überkommunalen Alltagsradverkehr</v>
          </cell>
          <cell r="C99">
            <v>1</v>
          </cell>
        </row>
        <row r="100">
          <cell r="A100" t="str">
            <v>Sulz</v>
          </cell>
          <cell r="B100" t="str">
            <v>Kategorie A: Gute Eignung für innerörtlichen und überkommunalen Alltagsradverkehr</v>
          </cell>
          <cell r="C100">
            <v>1</v>
          </cell>
        </row>
        <row r="101">
          <cell r="A101" t="str">
            <v>Sulzberg</v>
          </cell>
          <cell r="B101" t="str">
            <v>Kategorie B: Gute Eignung für den innerörtlichen Alltagsradverkehr</v>
          </cell>
          <cell r="C101">
            <v>0.6</v>
          </cell>
        </row>
        <row r="102">
          <cell r="A102" t="str">
            <v>Thüringen</v>
          </cell>
          <cell r="B102" t="str">
            <v>Kategorie A: Gute Eignung für innerörtlichen und überkommunalen Alltagsradverkehr</v>
          </cell>
          <cell r="C102">
            <v>1</v>
          </cell>
        </row>
        <row r="103">
          <cell r="A103" t="str">
            <v>Thüringerberg</v>
          </cell>
          <cell r="B103" t="str">
            <v>Kategorie C: Eingeschränkte Eignung für den Alltagsradverkehr</v>
          </cell>
          <cell r="C103">
            <v>0.2</v>
          </cell>
        </row>
        <row r="104">
          <cell r="A104" t="str">
            <v>Tschagguns</v>
          </cell>
          <cell r="B104" t="str">
            <v>Kategorie B: Gute Eignung für den innerörtlichen Alltagsradverkehr</v>
          </cell>
          <cell r="C104">
            <v>0.6</v>
          </cell>
        </row>
        <row r="105">
          <cell r="A105" t="str">
            <v>Übersaxen</v>
          </cell>
          <cell r="B105" t="str">
            <v>Kategorie C: Eingeschränkte Eignung für den Alltagsradverkehr</v>
          </cell>
          <cell r="C105">
            <v>0.2</v>
          </cell>
        </row>
        <row r="106">
          <cell r="A106" t="str">
            <v>Vandans</v>
          </cell>
          <cell r="B106" t="str">
            <v>Kategorie B: Gute Eignung für den innerörtlichen Alltagsradverkehr</v>
          </cell>
          <cell r="C106">
            <v>0.6</v>
          </cell>
        </row>
        <row r="107">
          <cell r="A107" t="str">
            <v>Viktorsberg</v>
          </cell>
          <cell r="B107" t="str">
            <v>Kategorie C: Eingeschränkte Eignung für den Alltagsradverkehr</v>
          </cell>
          <cell r="C107">
            <v>0.2</v>
          </cell>
        </row>
        <row r="108">
          <cell r="A108" t="str">
            <v>Warth</v>
          </cell>
          <cell r="B108" t="str">
            <v>Kategorie C: Eingeschränkte Eignung für den Alltagsradverkehr</v>
          </cell>
          <cell r="C108">
            <v>0.2</v>
          </cell>
        </row>
        <row r="109">
          <cell r="A109" t="str">
            <v>Weiler</v>
          </cell>
          <cell r="B109" t="str">
            <v>Kategorie A: Gute Eignung für innerörtlichen und überkommunalen Alltagsradverkehr</v>
          </cell>
          <cell r="C109">
            <v>1</v>
          </cell>
        </row>
        <row r="110">
          <cell r="A110" t="str">
            <v>Wolfurt</v>
          </cell>
          <cell r="B110" t="str">
            <v>Kategorie A: Gute Eignung für innerörtlichen und überkommunalen Alltagsradverkehr</v>
          </cell>
          <cell r="C110">
            <v>1</v>
          </cell>
        </row>
        <row r="111">
          <cell r="A111" t="str">
            <v>Zwischenwasser - Batschuns</v>
          </cell>
          <cell r="B111" t="str">
            <v>Kategorie C: Eingeschränkte Eignung für den Alltagsradverkehr</v>
          </cell>
          <cell r="C111">
            <v>0.2</v>
          </cell>
        </row>
        <row r="112">
          <cell r="A112" t="str">
            <v>Zwischenwasser - Dafins</v>
          </cell>
          <cell r="B112" t="str">
            <v>Kategorie C: Eingeschränkte Eignung für den Alltagsradverkehr</v>
          </cell>
          <cell r="C112">
            <v>0.2</v>
          </cell>
        </row>
        <row r="113">
          <cell r="A113" t="str">
            <v>Zwischenwasser - Muntlix</v>
          </cell>
          <cell r="B113" t="str">
            <v>Kategorie A: Gute Eignung für innerörtlichen und überkommunalen Alltagsradverkehr</v>
          </cell>
          <cell r="C1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showGridLines="0" tabSelected="1" zoomScale="80" zoomScaleNormal="80" zoomScaleSheetLayoutView="10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B4" sqref="B4"/>
    </sheetView>
  </sheetViews>
  <sheetFormatPr defaultColWidth="11.421875" defaultRowHeight="12.75" outlineLevelRow="2" outlineLevelCol="1"/>
  <cols>
    <col min="1" max="1" width="1.7109375" style="4" customWidth="1"/>
    <col min="2" max="2" width="25.421875" style="5" customWidth="1"/>
    <col min="3" max="3" width="14.140625" style="9" customWidth="1"/>
    <col min="4" max="4" width="4.8515625" style="11" customWidth="1"/>
    <col min="5" max="5" width="66.140625" style="165" customWidth="1"/>
    <col min="6" max="6" width="18.140625" style="5" customWidth="1" outlineLevel="1"/>
    <col min="7" max="7" width="14.8515625" style="5" customWidth="1" outlineLevel="1"/>
    <col min="8" max="8" width="15.00390625" style="74" customWidth="1" outlineLevel="1"/>
    <col min="9" max="9" width="13.7109375" style="165" hidden="1" customWidth="1"/>
    <col min="10" max="10" width="10.421875" style="4" customWidth="1"/>
    <col min="11" max="11" width="10.28125" style="4" customWidth="1"/>
    <col min="12" max="12" width="12.7109375" style="4" customWidth="1"/>
    <col min="13" max="16384" width="11.421875" style="4" customWidth="1"/>
  </cols>
  <sheetData>
    <row r="1" spans="4:8" ht="73.5" customHeight="1" thickBot="1">
      <c r="D1" s="76"/>
      <c r="E1" s="572"/>
      <c r="F1" s="573"/>
      <c r="G1" s="573"/>
      <c r="H1" s="573"/>
    </row>
    <row r="2" spans="2:8" ht="38.25" customHeight="1" thickBot="1">
      <c r="B2" s="209" t="s">
        <v>266</v>
      </c>
      <c r="C2" s="584"/>
      <c r="D2" s="560"/>
      <c r="E2" s="560"/>
      <c r="F2" s="560"/>
      <c r="G2" s="560"/>
      <c r="H2" s="561"/>
    </row>
    <row r="3" spans="5:8" ht="9" customHeight="1" thickBot="1">
      <c r="E3" s="572"/>
      <c r="F3" s="573"/>
      <c r="G3" s="573"/>
      <c r="H3" s="573"/>
    </row>
    <row r="4" spans="2:8" ht="42" customHeight="1" outlineLevel="1" thickBot="1">
      <c r="B4" s="167"/>
      <c r="D4" s="76"/>
      <c r="E4" s="164"/>
      <c r="F4" s="215" t="s">
        <v>47</v>
      </c>
      <c r="G4" s="582">
        <f>IF((H7+H15+H31+H37)&lt;1000,(H7+H15+H31+H37),1000)</f>
        <v>0</v>
      </c>
      <c r="H4" s="583">
        <f>IF(SUM(H5:H10)&lt;225,SUM(H5:H10),225)</f>
        <v>0</v>
      </c>
    </row>
    <row r="5" spans="2:8" ht="31.5" customHeight="1">
      <c r="B5" s="574" t="s">
        <v>20</v>
      </c>
      <c r="C5" s="575"/>
      <c r="D5" s="576"/>
      <c r="E5" s="580" t="s">
        <v>21</v>
      </c>
      <c r="F5" s="177" t="s">
        <v>146</v>
      </c>
      <c r="G5" s="178" t="s">
        <v>118</v>
      </c>
      <c r="H5" s="179" t="s">
        <v>147</v>
      </c>
    </row>
    <row r="6" spans="2:8" ht="4.5" customHeight="1" thickBot="1">
      <c r="B6" s="577"/>
      <c r="C6" s="578"/>
      <c r="D6" s="579"/>
      <c r="E6" s="581"/>
      <c r="F6" s="180"/>
      <c r="G6" s="178"/>
      <c r="H6" s="181"/>
    </row>
    <row r="7" spans="2:12" s="222" customFormat="1" ht="29.25" customHeight="1" thickBot="1">
      <c r="B7" s="233" t="s">
        <v>111</v>
      </c>
      <c r="C7" s="234"/>
      <c r="D7" s="235"/>
      <c r="E7" s="236" t="s">
        <v>119</v>
      </c>
      <c r="F7" s="237"/>
      <c r="G7" s="237">
        <v>225</v>
      </c>
      <c r="H7" s="522">
        <f>IF(SUM(H8:H13)&lt;225,SUM(H8:H13),225)</f>
        <v>0</v>
      </c>
      <c r="I7" s="221"/>
      <c r="K7" s="346"/>
      <c r="L7" s="347" t="s">
        <v>484</v>
      </c>
    </row>
    <row r="8" spans="2:12" s="123" customFormat="1" ht="30" customHeight="1" outlineLevel="1" thickBot="1">
      <c r="B8" s="196" t="s">
        <v>111</v>
      </c>
      <c r="C8" s="197">
        <v>1</v>
      </c>
      <c r="D8" s="184">
        <v>1</v>
      </c>
      <c r="E8" s="185" t="s">
        <v>123</v>
      </c>
      <c r="F8" s="176" t="s">
        <v>150</v>
      </c>
      <c r="G8" s="186">
        <v>15</v>
      </c>
      <c r="H8" s="223">
        <f>'A. 1.1. '!C21</f>
        <v>0</v>
      </c>
      <c r="J8" s="165"/>
      <c r="K8" s="344"/>
      <c r="L8" s="345" t="s">
        <v>485</v>
      </c>
    </row>
    <row r="9" spans="2:9" s="123" customFormat="1" ht="30" customHeight="1" outlineLevel="1">
      <c r="B9" s="196" t="s">
        <v>111</v>
      </c>
      <c r="C9" s="197">
        <v>1</v>
      </c>
      <c r="D9" s="184">
        <v>2</v>
      </c>
      <c r="E9" s="185" t="s">
        <v>121</v>
      </c>
      <c r="F9" s="176"/>
      <c r="G9" s="186">
        <v>15</v>
      </c>
      <c r="H9" s="529"/>
      <c r="I9" s="170">
        <v>0</v>
      </c>
    </row>
    <row r="10" spans="2:9" s="123" customFormat="1" ht="30" customHeight="1" outlineLevel="1">
      <c r="B10" s="196" t="s">
        <v>111</v>
      </c>
      <c r="C10" s="197">
        <v>1</v>
      </c>
      <c r="D10" s="184">
        <v>3</v>
      </c>
      <c r="E10" s="184" t="s">
        <v>136</v>
      </c>
      <c r="F10" s="238"/>
      <c r="G10" s="239">
        <v>120</v>
      </c>
      <c r="H10" s="223">
        <f>'A.1.3.'!C25</f>
        <v>0</v>
      </c>
      <c r="I10" s="170">
        <v>15</v>
      </c>
    </row>
    <row r="11" spans="2:9" s="123" customFormat="1" ht="30" customHeight="1" outlineLevel="1">
      <c r="B11" s="196" t="s">
        <v>111</v>
      </c>
      <c r="C11" s="197">
        <v>1</v>
      </c>
      <c r="D11" s="184">
        <v>4</v>
      </c>
      <c r="E11" s="184" t="s">
        <v>137</v>
      </c>
      <c r="F11" s="238"/>
      <c r="G11" s="239">
        <v>45</v>
      </c>
      <c r="H11" s="529"/>
      <c r="I11" s="170">
        <v>0</v>
      </c>
    </row>
    <row r="12" spans="2:9" s="123" customFormat="1" ht="30" customHeight="1" outlineLevel="1">
      <c r="B12" s="196" t="s">
        <v>111</v>
      </c>
      <c r="C12" s="197">
        <v>1</v>
      </c>
      <c r="D12" s="240">
        <v>5</v>
      </c>
      <c r="E12" s="241" t="s">
        <v>127</v>
      </c>
      <c r="F12" s="241"/>
      <c r="G12" s="242">
        <v>25</v>
      </c>
      <c r="H12" s="223">
        <f>IF(ISNUMBER('A.1.5'!D30),'A.1.5'!D30,0)</f>
        <v>0</v>
      </c>
      <c r="I12" s="170">
        <v>45</v>
      </c>
    </row>
    <row r="13" spans="2:9" s="123" customFormat="1" ht="30" customHeight="1" outlineLevel="1">
      <c r="B13" s="196" t="s">
        <v>111</v>
      </c>
      <c r="C13" s="197">
        <v>1</v>
      </c>
      <c r="D13" s="240">
        <v>6</v>
      </c>
      <c r="E13" s="241" t="s">
        <v>129</v>
      </c>
      <c r="F13" s="241"/>
      <c r="G13" s="242">
        <v>40</v>
      </c>
      <c r="H13" s="223">
        <f>'A.1.6'!E9</f>
        <v>0</v>
      </c>
      <c r="I13" s="170"/>
    </row>
    <row r="14" spans="4:8" ht="6" customHeight="1" thickBot="1">
      <c r="D14" s="10"/>
      <c r="E14" s="2"/>
      <c r="F14" s="1"/>
      <c r="G14" s="1"/>
      <c r="H14" s="6"/>
    </row>
    <row r="15" spans="2:9" s="222" customFormat="1" ht="30" customHeight="1">
      <c r="B15" s="224" t="s">
        <v>32</v>
      </c>
      <c r="C15" s="225"/>
      <c r="D15" s="356"/>
      <c r="E15" s="226" t="s">
        <v>30</v>
      </c>
      <c r="F15" s="348"/>
      <c r="G15" s="348">
        <v>525</v>
      </c>
      <c r="H15" s="349">
        <f>IF(H16&gt;H22,H16,H22)</f>
        <v>0</v>
      </c>
      <c r="I15" s="221"/>
    </row>
    <row r="16" spans="2:9" s="7" customFormat="1" ht="30" customHeight="1">
      <c r="B16" s="492" t="str">
        <f aca="true" t="shared" si="0" ref="B16:B21">B$15</f>
        <v>B</v>
      </c>
      <c r="C16" s="493">
        <f aca="true" t="shared" si="1" ref="C16:C21">C$22</f>
        <v>1</v>
      </c>
      <c r="D16" s="494"/>
      <c r="E16" s="495" t="s">
        <v>138</v>
      </c>
      <c r="F16" s="490"/>
      <c r="G16" s="490">
        <v>525</v>
      </c>
      <c r="H16" s="491">
        <f>IF(SUM(H17:H21)&lt;525,SUM(H17:H21),525)</f>
        <v>0</v>
      </c>
      <c r="I16" s="484"/>
    </row>
    <row r="17" spans="2:9" s="123" customFormat="1" ht="30" customHeight="1">
      <c r="B17" s="182" t="str">
        <f t="shared" si="0"/>
        <v>B</v>
      </c>
      <c r="C17" s="183">
        <f t="shared" si="1"/>
        <v>1</v>
      </c>
      <c r="D17" s="184">
        <v>1</v>
      </c>
      <c r="E17" s="185" t="s">
        <v>471</v>
      </c>
      <c r="F17" s="186" t="s">
        <v>9</v>
      </c>
      <c r="G17" s="186">
        <v>235</v>
      </c>
      <c r="H17" s="223">
        <f>IF(ISNUMBER('B1 '!B14),'B1 '!B14,0)</f>
        <v>0</v>
      </c>
      <c r="I17" s="170"/>
    </row>
    <row r="18" spans="2:9" s="123" customFormat="1" ht="30" customHeight="1">
      <c r="B18" s="182" t="str">
        <f t="shared" si="0"/>
        <v>B</v>
      </c>
      <c r="C18" s="183">
        <f t="shared" si="1"/>
        <v>1</v>
      </c>
      <c r="D18" s="184">
        <v>2</v>
      </c>
      <c r="E18" s="185" t="s">
        <v>120</v>
      </c>
      <c r="F18" s="186" t="s">
        <v>9</v>
      </c>
      <c r="G18" s="186">
        <v>145</v>
      </c>
      <c r="H18" s="223">
        <f>IF(ISNUMBER('B1 '!B15),'B1 '!B15,0)</f>
        <v>0</v>
      </c>
      <c r="I18" s="170"/>
    </row>
    <row r="19" spans="2:9" s="123" customFormat="1" ht="30" customHeight="1">
      <c r="B19" s="182" t="str">
        <f t="shared" si="0"/>
        <v>B</v>
      </c>
      <c r="C19" s="183">
        <f t="shared" si="1"/>
        <v>1</v>
      </c>
      <c r="D19" s="184">
        <v>3</v>
      </c>
      <c r="E19" s="185" t="s">
        <v>148</v>
      </c>
      <c r="F19" s="186" t="s">
        <v>9</v>
      </c>
      <c r="G19" s="186">
        <v>145</v>
      </c>
      <c r="H19" s="223">
        <f>IF(ISNUMBER('B1 '!B16),'B1 '!B16,0)</f>
        <v>0</v>
      </c>
      <c r="I19" s="170"/>
    </row>
    <row r="20" spans="2:9" s="123" customFormat="1" ht="30" customHeight="1">
      <c r="B20" s="182" t="str">
        <f t="shared" si="0"/>
        <v>B</v>
      </c>
      <c r="C20" s="183">
        <f t="shared" si="1"/>
        <v>1</v>
      </c>
      <c r="D20" s="184">
        <v>4</v>
      </c>
      <c r="E20" s="187" t="s">
        <v>124</v>
      </c>
      <c r="F20" s="188"/>
      <c r="G20" s="188">
        <v>50</v>
      </c>
      <c r="H20" s="223">
        <f>IF(ISNUMBER('B1.4 '!B18),'B1.4 '!B18,0)</f>
        <v>0</v>
      </c>
      <c r="I20" s="170"/>
    </row>
    <row r="21" spans="2:9" s="123" customFormat="1" ht="30" customHeight="1">
      <c r="B21" s="182" t="str">
        <f t="shared" si="0"/>
        <v>B</v>
      </c>
      <c r="C21" s="183">
        <f t="shared" si="1"/>
        <v>1</v>
      </c>
      <c r="D21" s="184">
        <v>5</v>
      </c>
      <c r="E21" s="187" t="s">
        <v>125</v>
      </c>
      <c r="F21" s="188" t="s">
        <v>9</v>
      </c>
      <c r="G21" s="188">
        <v>0</v>
      </c>
      <c r="H21" s="543"/>
      <c r="I21" s="170"/>
    </row>
    <row r="22" spans="2:9" s="7" customFormat="1" ht="30" customHeight="1" outlineLevel="1">
      <c r="B22" s="485" t="s">
        <v>32</v>
      </c>
      <c r="C22" s="486">
        <v>1</v>
      </c>
      <c r="D22" s="487" t="s">
        <v>128</v>
      </c>
      <c r="E22" s="488" t="s">
        <v>144</v>
      </c>
      <c r="F22" s="489"/>
      <c r="G22" s="490">
        <v>525</v>
      </c>
      <c r="H22" s="491">
        <f>IF(SUM(H23:H28)&lt;525,SUM(H23:H28),525)</f>
        <v>0</v>
      </c>
      <c r="I22" s="484"/>
    </row>
    <row r="23" spans="2:9" s="168" customFormat="1" ht="30" customHeight="1" outlineLevel="2">
      <c r="B23" s="182" t="str">
        <f>B$15</f>
        <v>B</v>
      </c>
      <c r="C23" s="183">
        <f>C$22</f>
        <v>1</v>
      </c>
      <c r="D23" s="184" t="s">
        <v>106</v>
      </c>
      <c r="E23" s="185" t="s">
        <v>113</v>
      </c>
      <c r="F23" s="186" t="s">
        <v>9</v>
      </c>
      <c r="G23" s="186">
        <v>425</v>
      </c>
      <c r="H23" s="223">
        <f>IF(ISNUMBER('B1b '!B12),'B1b '!B12,0)</f>
        <v>0</v>
      </c>
      <c r="I23" s="170"/>
    </row>
    <row r="24" spans="2:9" s="169" customFormat="1" ht="30" customHeight="1" outlineLevel="2">
      <c r="B24" s="189" t="str">
        <f>B$15</f>
        <v>B</v>
      </c>
      <c r="C24" s="190">
        <f>C$22</f>
        <v>1</v>
      </c>
      <c r="D24" s="191" t="s">
        <v>122</v>
      </c>
      <c r="E24" s="187" t="s">
        <v>145</v>
      </c>
      <c r="F24" s="186" t="s">
        <v>9</v>
      </c>
      <c r="G24" s="243">
        <v>0</v>
      </c>
      <c r="H24" s="543"/>
      <c r="I24" s="172"/>
    </row>
    <row r="25" spans="2:9" s="168" customFormat="1" ht="30" customHeight="1" outlineLevel="2">
      <c r="B25" s="192" t="str">
        <f>B$15</f>
        <v>B</v>
      </c>
      <c r="C25" s="193">
        <f>C$22</f>
        <v>1</v>
      </c>
      <c r="D25" s="191" t="s">
        <v>114</v>
      </c>
      <c r="E25" s="185" t="s">
        <v>479</v>
      </c>
      <c r="F25" s="186" t="s">
        <v>9</v>
      </c>
      <c r="G25" s="186">
        <v>0</v>
      </c>
      <c r="H25" s="543"/>
      <c r="I25" s="171"/>
    </row>
    <row r="26" spans="2:9" s="168" customFormat="1" ht="30" customHeight="1" outlineLevel="2">
      <c r="B26" s="182" t="str">
        <f>B$15</f>
        <v>B</v>
      </c>
      <c r="C26" s="183">
        <f>C$22</f>
        <v>1</v>
      </c>
      <c r="D26" s="184" t="s">
        <v>44</v>
      </c>
      <c r="E26" s="187" t="s">
        <v>124</v>
      </c>
      <c r="F26" s="188"/>
      <c r="G26" s="188">
        <v>50</v>
      </c>
      <c r="H26" s="223">
        <f>IF(ISNUMBER('B1.4 '!B18),'B1.4 '!B18,0)</f>
        <v>0</v>
      </c>
      <c r="I26" s="170"/>
    </row>
    <row r="27" spans="2:9" s="168" customFormat="1" ht="30" customHeight="1" outlineLevel="2">
      <c r="B27" s="182" t="str">
        <f>B$15</f>
        <v>B</v>
      </c>
      <c r="C27" s="183">
        <f>C$22</f>
        <v>1</v>
      </c>
      <c r="D27" s="184" t="s">
        <v>139</v>
      </c>
      <c r="E27" s="187" t="s">
        <v>125</v>
      </c>
      <c r="F27" s="188" t="s">
        <v>9</v>
      </c>
      <c r="G27" s="188">
        <v>0</v>
      </c>
      <c r="H27" s="543"/>
      <c r="I27" s="170"/>
    </row>
    <row r="28" spans="2:10" s="168" customFormat="1" ht="30" customHeight="1" outlineLevel="1">
      <c r="B28" s="194" t="s">
        <v>32</v>
      </c>
      <c r="C28" s="194">
        <v>1</v>
      </c>
      <c r="D28" s="195" t="s">
        <v>140</v>
      </c>
      <c r="E28" s="241" t="s">
        <v>141</v>
      </c>
      <c r="F28" s="195"/>
      <c r="G28" s="194">
        <v>50</v>
      </c>
      <c r="H28" s="223">
        <f>IF(ISNUMBER('B1.6b'!C21),'B1.6b'!C21,0)</f>
        <v>0</v>
      </c>
      <c r="I28" s="170"/>
      <c r="J28" s="123"/>
    </row>
    <row r="29" ht="3.75" customHeight="1"/>
    <row r="30" spans="2:8" ht="6" customHeight="1" thickBot="1">
      <c r="B30" s="163"/>
      <c r="D30" s="10"/>
      <c r="F30" s="162"/>
      <c r="G30" s="162"/>
      <c r="H30" s="97"/>
    </row>
    <row r="31" spans="2:9" s="222" customFormat="1" ht="30" customHeight="1">
      <c r="B31" s="227" t="s">
        <v>112</v>
      </c>
      <c r="C31" s="228"/>
      <c r="D31" s="229"/>
      <c r="E31" s="230" t="s">
        <v>0</v>
      </c>
      <c r="F31" s="231"/>
      <c r="G31" s="231" t="s">
        <v>130</v>
      </c>
      <c r="H31" s="232">
        <f>IF((H32+H34)&lt;125,(H32+H34),125)</f>
        <v>0</v>
      </c>
      <c r="I31" s="221"/>
    </row>
    <row r="32" spans="2:8" ht="30" customHeight="1" outlineLevel="1">
      <c r="B32" s="216" t="str">
        <f>B31</f>
        <v>C</v>
      </c>
      <c r="C32" s="217">
        <v>1</v>
      </c>
      <c r="D32" s="218"/>
      <c r="E32" s="219" t="s">
        <v>1</v>
      </c>
      <c r="F32" s="220"/>
      <c r="G32" s="220">
        <v>75</v>
      </c>
      <c r="H32" s="497">
        <f>IF(SUM(H33:H33)&lt;75,SUM(H33:H33),75)</f>
        <v>0</v>
      </c>
    </row>
    <row r="33" spans="2:9" s="168" customFormat="1" ht="30" customHeight="1" outlineLevel="2">
      <c r="B33" s="196" t="s">
        <v>112</v>
      </c>
      <c r="C33" s="197">
        <f>C$32</f>
        <v>1</v>
      </c>
      <c r="D33" s="184">
        <f>D31+1</f>
        <v>1</v>
      </c>
      <c r="E33" s="185" t="s">
        <v>13</v>
      </c>
      <c r="F33" s="186" t="s">
        <v>9</v>
      </c>
      <c r="G33" s="186">
        <v>75</v>
      </c>
      <c r="H33" s="223">
        <f>'C.1.1'!C13</f>
        <v>0</v>
      </c>
      <c r="I33" s="171"/>
    </row>
    <row r="34" spans="2:8" ht="30" customHeight="1" outlineLevel="1">
      <c r="B34" s="216" t="s">
        <v>112</v>
      </c>
      <c r="C34" s="217">
        <v>2</v>
      </c>
      <c r="D34" s="218"/>
      <c r="E34" s="219" t="s">
        <v>2</v>
      </c>
      <c r="F34" s="220"/>
      <c r="G34" s="220">
        <v>75</v>
      </c>
      <c r="H34" s="497">
        <f>IF(SUM(H35:H35)&lt;75,SUM(H35:H35),75)</f>
        <v>0</v>
      </c>
    </row>
    <row r="35" spans="2:9" s="168" customFormat="1" ht="30" customHeight="1">
      <c r="B35" s="194" t="s">
        <v>112</v>
      </c>
      <c r="C35" s="183">
        <v>2</v>
      </c>
      <c r="D35" s="198">
        <v>1</v>
      </c>
      <c r="E35" s="185" t="s">
        <v>143</v>
      </c>
      <c r="F35" s="186"/>
      <c r="G35" s="186">
        <v>75</v>
      </c>
      <c r="H35" s="223">
        <f>'C.2.1'!D14</f>
        <v>0</v>
      </c>
      <c r="I35" s="171"/>
    </row>
    <row r="36" spans="4:8" ht="6" customHeight="1" thickBot="1">
      <c r="D36" s="10"/>
      <c r="E36" s="3" t="s">
        <v>76</v>
      </c>
      <c r="F36" s="1"/>
      <c r="G36" s="1"/>
      <c r="H36" s="6"/>
    </row>
    <row r="37" spans="2:9" s="222" customFormat="1" ht="30" customHeight="1">
      <c r="B37" s="350" t="s">
        <v>115</v>
      </c>
      <c r="C37" s="351"/>
      <c r="D37" s="352"/>
      <c r="E37" s="353" t="s">
        <v>38</v>
      </c>
      <c r="F37" s="354"/>
      <c r="G37" s="354">
        <v>125</v>
      </c>
      <c r="H37" s="355">
        <f>IF((H38+H40)&lt;125,(H38+H40),125)</f>
        <v>0</v>
      </c>
      <c r="I37" s="221"/>
    </row>
    <row r="38" spans="2:9" s="7" customFormat="1" ht="30" customHeight="1">
      <c r="B38" s="479" t="s">
        <v>115</v>
      </c>
      <c r="C38" s="480">
        <v>1</v>
      </c>
      <c r="D38" s="481"/>
      <c r="E38" s="482" t="s">
        <v>116</v>
      </c>
      <c r="F38" s="482"/>
      <c r="G38" s="496">
        <v>30</v>
      </c>
      <c r="H38" s="498">
        <f>IF(SUM(H39:H39)&lt;30,SUM(H39:H39),30)</f>
        <v>0</v>
      </c>
      <c r="I38" s="171"/>
    </row>
    <row r="39" spans="2:9" s="8" customFormat="1" ht="30" customHeight="1">
      <c r="B39" s="182" t="s">
        <v>115</v>
      </c>
      <c r="C39" s="183">
        <v>1</v>
      </c>
      <c r="D39" s="244" t="s">
        <v>126</v>
      </c>
      <c r="E39" s="185" t="s">
        <v>142</v>
      </c>
      <c r="F39" s="199"/>
      <c r="G39" s="199">
        <v>30</v>
      </c>
      <c r="H39" s="223">
        <f>'D.1.1'!C13</f>
        <v>0</v>
      </c>
      <c r="I39" s="173"/>
    </row>
    <row r="40" spans="2:9" s="7" customFormat="1" ht="30" customHeight="1">
      <c r="B40" s="479" t="str">
        <f>B$37</f>
        <v>D</v>
      </c>
      <c r="C40" s="480">
        <v>2</v>
      </c>
      <c r="D40" s="481"/>
      <c r="E40" s="482" t="s">
        <v>117</v>
      </c>
      <c r="F40" s="483"/>
      <c r="G40" s="496">
        <v>100</v>
      </c>
      <c r="H40" s="499">
        <f>IF(SUM(H41:H41)&lt;100,SUM(H41:H41),100)</f>
        <v>0</v>
      </c>
      <c r="I40" s="484"/>
    </row>
    <row r="41" spans="2:9" s="168" customFormat="1" ht="30" customHeight="1" outlineLevel="1" thickBot="1">
      <c r="B41" s="200" t="str">
        <f>B$37</f>
        <v>D</v>
      </c>
      <c r="C41" s="201">
        <v>2</v>
      </c>
      <c r="D41" s="202">
        <v>1</v>
      </c>
      <c r="E41" s="203" t="s">
        <v>149</v>
      </c>
      <c r="F41" s="186" t="s">
        <v>9</v>
      </c>
      <c r="G41" s="186">
        <v>100</v>
      </c>
      <c r="H41" s="223">
        <f>IF(ISNUMBER('D1.2'!B18),'D1.2'!B18,0)</f>
        <v>0</v>
      </c>
      <c r="I41" s="171"/>
    </row>
    <row r="42" ht="15.75">
      <c r="E42" s="166"/>
    </row>
    <row r="43" spans="2:5" ht="30" customHeight="1">
      <c r="B43" s="174" t="s">
        <v>131</v>
      </c>
      <c r="C43" s="563"/>
      <c r="D43" s="564"/>
      <c r="E43" s="565"/>
    </row>
    <row r="44" spans="2:5" ht="30" customHeight="1">
      <c r="B44" s="175" t="s">
        <v>132</v>
      </c>
      <c r="C44" s="566"/>
      <c r="D44" s="567"/>
      <c r="E44" s="568"/>
    </row>
    <row r="45" spans="2:5" ht="30" customHeight="1">
      <c r="B45" s="175" t="s">
        <v>133</v>
      </c>
      <c r="C45" s="569"/>
      <c r="D45" s="570"/>
      <c r="E45" s="571"/>
    </row>
    <row r="46" spans="2:5" ht="30" customHeight="1">
      <c r="B46" s="175" t="s">
        <v>134</v>
      </c>
      <c r="C46" s="569"/>
      <c r="D46" s="570"/>
      <c r="E46" s="571"/>
    </row>
    <row r="47" spans="2:5" ht="30" customHeight="1">
      <c r="B47" s="175" t="s">
        <v>135</v>
      </c>
      <c r="C47" s="569"/>
      <c r="D47" s="570"/>
      <c r="E47" s="571"/>
    </row>
    <row r="48" ht="15.75">
      <c r="E48" s="166"/>
    </row>
    <row r="49" ht="15.75">
      <c r="E49" s="166"/>
    </row>
    <row r="50" ht="15.75">
      <c r="E50" s="166"/>
    </row>
    <row r="51" ht="15.75">
      <c r="E51" s="166"/>
    </row>
    <row r="52" ht="15.75">
      <c r="E52" s="166"/>
    </row>
  </sheetData>
  <sheetProtection password="CFBB" sheet="1"/>
  <mergeCells count="11">
    <mergeCell ref="C47:E47"/>
    <mergeCell ref="E1:H1"/>
    <mergeCell ref="E3:H3"/>
    <mergeCell ref="B5:D6"/>
    <mergeCell ref="E5:E6"/>
    <mergeCell ref="G4:H4"/>
    <mergeCell ref="C2:H2"/>
    <mergeCell ref="C43:E43"/>
    <mergeCell ref="C44:E44"/>
    <mergeCell ref="C45:E45"/>
    <mergeCell ref="C46:E46"/>
  </mergeCells>
  <conditionalFormatting sqref="A33:G33 B20:D21 D35 F35:G35 B39:E39 A30 C30:IV30 F20:F21 H16 I9:I13 G17:G21 I12:IV13 G23:G26 F26 F27:G27 K23:IV28 C10:C13 B26:D27 B25:F25 A25:A28 A23:F24 B16:D16 B8:E12 A8:A13 A13:E13 B17:F19 A41:G41 I41:IV41 I33:IV33 H22 J23:J27 I24:I25 F8:G13 J8:J13 M8:IV13 K9:L13 I38">
    <cfRule type="expression" priority="12" dxfId="0" stopIfTrue="1">
      <formula>#REF!="n"</formula>
    </cfRule>
  </conditionalFormatting>
  <conditionalFormatting sqref="E17 I9 I11 I21 I27">
    <cfRule type="expression" priority="8" dxfId="0" stopIfTrue="1">
      <formula>#REF!="n"</formula>
    </cfRule>
  </conditionalFormatting>
  <dataValidations count="2">
    <dataValidation type="list" allowBlank="1" showInputMessage="1" showErrorMessage="1" errorTitle="Falscher Wert!" error="Bitte geben Sie die Zahl 0 oder 15 ein." sqref="H9">
      <formula1>$I$9:$I$10</formula1>
    </dataValidation>
    <dataValidation type="list" allowBlank="1" showInputMessage="1" showErrorMessage="1" errorTitle="Falscher Wert!" error="Bitte geben Sie die Zahl 0 oder 45 ein." sqref="H11">
      <formula1>$I$11:$I$12</formula1>
    </dataValidation>
  </dataValidations>
  <printOptions horizontalCentered="1" verticalCentered="1"/>
  <pageMargins left="0.4724409448818898" right="0.5118110236220472" top="0.52" bottom="0.5118110236220472" header="0.35433070866141736" footer="0.2755905511811024"/>
  <pageSetup fitToHeight="1" fitToWidth="1" horizontalDpi="600" verticalDpi="600" orientation="portrait" paperSize="9" scale="58" r:id="rId3"/>
  <headerFooter alignWithMargins="0">
    <oddHeader>&amp;R&amp;G</oddHeader>
    <oddFooter>&amp;C&amp;A&amp;RVersion 3.0     21.09.2010</oddFooter>
  </headerFooter>
  <rowBreaks count="1" manualBreakCount="1">
    <brk id="36" min="1" max="8" man="1"/>
  </row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34.57421875" style="273" customWidth="1"/>
    <col min="2" max="2" width="42.7109375" style="273" bestFit="1" customWidth="1"/>
    <col min="3" max="16384" width="11.421875" style="273" customWidth="1"/>
  </cols>
  <sheetData>
    <row r="1" spans="1:3" ht="21" customHeight="1">
      <c r="A1" s="646" t="s">
        <v>473</v>
      </c>
      <c r="B1" s="646"/>
      <c r="C1" s="646"/>
    </row>
    <row r="2" spans="1:3" ht="7.5" customHeight="1" thickBot="1">
      <c r="A2" s="213"/>
      <c r="B2" s="213"/>
      <c r="C2" s="213"/>
    </row>
    <row r="3" spans="1:3" s="276" customFormat="1" ht="24.75" customHeight="1">
      <c r="A3" s="637" t="s">
        <v>433</v>
      </c>
      <c r="B3" s="638"/>
      <c r="C3" s="639"/>
    </row>
    <row r="4" spans="1:3" s="276" customFormat="1" ht="24.75" customHeight="1">
      <c r="A4" s="391" t="s">
        <v>422</v>
      </c>
      <c r="B4" s="523"/>
      <c r="C4" s="389" t="s">
        <v>423</v>
      </c>
    </row>
    <row r="5" spans="1:3" s="276" customFormat="1" ht="24.75" customHeight="1" thickBot="1">
      <c r="A5" s="392" t="s">
        <v>434</v>
      </c>
      <c r="B5" s="524"/>
      <c r="C5" s="393" t="s">
        <v>435</v>
      </c>
    </row>
    <row r="6" spans="1:3" s="276" customFormat="1" ht="14.25" customHeight="1">
      <c r="A6" s="274"/>
      <c r="B6" s="281"/>
      <c r="C6" s="275"/>
    </row>
    <row r="7" spans="1:3" s="276" customFormat="1" ht="14.25" customHeight="1">
      <c r="A7" s="274"/>
      <c r="B7" s="281"/>
      <c r="C7" s="275"/>
    </row>
    <row r="8" spans="1:3" s="276" customFormat="1" ht="14.25" customHeight="1" thickBot="1">
      <c r="A8" s="274"/>
      <c r="B8" s="281"/>
      <c r="C8" s="275"/>
    </row>
    <row r="9" spans="1:3" s="276" customFormat="1" ht="24.75" customHeight="1">
      <c r="A9" s="643" t="s">
        <v>427</v>
      </c>
      <c r="B9" s="644"/>
      <c r="C9" s="645"/>
    </row>
    <row r="10" spans="1:3" s="276" customFormat="1" ht="24.75" customHeight="1">
      <c r="A10" s="391" t="s">
        <v>428</v>
      </c>
      <c r="B10" s="508">
        <f>IF(ISNUMBER(B4),1/B4,"")</f>
      </c>
      <c r="C10" s="389" t="s">
        <v>429</v>
      </c>
    </row>
    <row r="11" spans="1:3" s="276" customFormat="1" ht="24.75" customHeight="1" thickBot="1">
      <c r="A11" s="394" t="s">
        <v>436</v>
      </c>
      <c r="B11" s="509">
        <f>IF(ISNUMBER(B4),IF(B4&lt;=0.2,7,IF(AND(B4&lt;0.8,B4&gt;0.2),ROUND((2.5/0.6)*B4+(9.5-0.4*2.5/0.3),1),9.5)),"")</f>
      </c>
      <c r="C11" s="389" t="s">
        <v>435</v>
      </c>
    </row>
    <row r="12" spans="1:3" s="276" customFormat="1" ht="24.75" customHeight="1" thickBot="1">
      <c r="A12" s="285" t="s">
        <v>431</v>
      </c>
      <c r="B12" s="525">
        <f>IF(ISNUMBER(B5),IF(B5&lt;=7,425,IF(AND(B5&lt;=B11,B5&gt;7),ROUND(200/(7-B11)*B5+425-7*(200/(7-B11)),0),"Mindestanforderung nicht erfüllt")),"")</f>
      </c>
      <c r="C12" s="277"/>
    </row>
  </sheetData>
  <sheetProtection password="CFBB" sheet="1"/>
  <mergeCells count="3">
    <mergeCell ref="A3:C3"/>
    <mergeCell ref="A9:C9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41.7109375" style="273" customWidth="1"/>
    <col min="2" max="2" width="11.421875" style="515" customWidth="1"/>
    <col min="3" max="3" width="11.421875" style="276" customWidth="1"/>
    <col min="4" max="4" width="11.421875" style="273" customWidth="1"/>
    <col min="5" max="5" width="0" style="273" hidden="1" customWidth="1"/>
    <col min="6" max="16384" width="11.421875" style="273" customWidth="1"/>
  </cols>
  <sheetData>
    <row r="1" spans="1:3" s="276" customFormat="1" ht="24.75" customHeight="1">
      <c r="A1" s="619" t="s">
        <v>472</v>
      </c>
      <c r="B1" s="619"/>
      <c r="C1" s="619"/>
    </row>
    <row r="2" spans="1:3" ht="7.5" customHeight="1" thickBot="1">
      <c r="A2" s="213"/>
      <c r="B2" s="510"/>
      <c r="C2" s="298"/>
    </row>
    <row r="3" spans="1:3" ht="24.75" customHeight="1">
      <c r="A3" s="637" t="s">
        <v>462</v>
      </c>
      <c r="B3" s="638"/>
      <c r="C3" s="639"/>
    </row>
    <row r="4" spans="1:3" s="276" customFormat="1" ht="24.75" customHeight="1">
      <c r="A4" s="541" t="s">
        <v>496</v>
      </c>
      <c r="B4" s="506"/>
      <c r="C4" s="389" t="s">
        <v>253</v>
      </c>
    </row>
    <row r="5" spans="1:3" s="276" customFormat="1" ht="24.75" customHeight="1">
      <c r="A5" s="390" t="s">
        <v>463</v>
      </c>
      <c r="B5" s="506"/>
      <c r="C5" s="389" t="s">
        <v>253</v>
      </c>
    </row>
    <row r="6" spans="1:3" s="276" customFormat="1" ht="45" customHeight="1" thickBot="1">
      <c r="A6" s="308" t="s">
        <v>478</v>
      </c>
      <c r="B6" s="511"/>
      <c r="C6" s="277" t="s">
        <v>464</v>
      </c>
    </row>
    <row r="7" spans="1:3" ht="14.25">
      <c r="A7" s="278"/>
      <c r="B7" s="512"/>
      <c r="C7" s="275"/>
    </row>
    <row r="8" spans="1:3" ht="24.75" customHeight="1">
      <c r="A8" s="647" t="s">
        <v>427</v>
      </c>
      <c r="B8" s="648"/>
      <c r="C8" s="649"/>
    </row>
    <row r="9" spans="1:3" ht="32.25" customHeight="1">
      <c r="A9" s="404" t="s">
        <v>465</v>
      </c>
      <c r="B9" s="513">
        <f>0.07*$B$4</f>
        <v>0</v>
      </c>
      <c r="C9" s="406" t="s">
        <v>253</v>
      </c>
    </row>
    <row r="10" spans="1:3" s="276" customFormat="1" ht="30.75" customHeight="1">
      <c r="A10" s="407" t="s">
        <v>466</v>
      </c>
      <c r="B10" s="513">
        <f>0.14*$B$4</f>
        <v>0</v>
      </c>
      <c r="C10" s="406" t="s">
        <v>253</v>
      </c>
    </row>
    <row r="11" spans="1:3" s="276" customFormat="1" ht="24.75" customHeight="1">
      <c r="A11" s="408" t="s">
        <v>467</v>
      </c>
      <c r="B11" s="513">
        <f>7*B4</f>
        <v>0</v>
      </c>
      <c r="C11" s="406" t="s">
        <v>464</v>
      </c>
    </row>
    <row r="12" spans="1:3" s="276" customFormat="1" ht="24.75" customHeight="1">
      <c r="A12" s="408" t="s">
        <v>468</v>
      </c>
      <c r="B12" s="513">
        <f>14*B4</f>
        <v>0</v>
      </c>
      <c r="C12" s="406" t="s">
        <v>464</v>
      </c>
    </row>
    <row r="13" spans="1:3" s="276" customFormat="1" ht="14.25" customHeight="1">
      <c r="A13" s="297"/>
      <c r="B13" s="514"/>
      <c r="C13" s="409"/>
    </row>
    <row r="14" spans="1:5" s="276" customFormat="1" ht="14.25" customHeight="1">
      <c r="A14" s="297"/>
      <c r="B14" s="514"/>
      <c r="C14" s="409"/>
      <c r="E14" s="276" t="s">
        <v>469</v>
      </c>
    </row>
    <row r="15" spans="1:5" s="276" customFormat="1" ht="24.75" customHeight="1">
      <c r="A15" s="410" t="s">
        <v>494</v>
      </c>
      <c r="B15" s="405">
        <f>IF(ISNUMBER(E15),IF(E15&lt;0,0,IF(E15&gt;50,50,E15)),"")</f>
      </c>
      <c r="C15" s="411"/>
      <c r="E15" s="276">
        <f>IF(ISNUMBER(B6),ROUND(25*B6/(B12-B11)+50-25/(B12-B11)*B12,0),"")</f>
      </c>
    </row>
    <row r="16" spans="1:5" s="276" customFormat="1" ht="24.75" customHeight="1">
      <c r="A16" s="410" t="s">
        <v>495</v>
      </c>
      <c r="B16" s="405">
        <f>IF(ISNUMBER(E16),IF(E16&lt;0,0,IF(E16&gt;50,50,E16)),"")</f>
      </c>
      <c r="C16" s="411"/>
      <c r="E16" s="276">
        <f>IF(ISNUMBER(B5),ROUND(25*B5/(B10-B9)+50-25/(B10-B9)*B10,0),"")</f>
      </c>
    </row>
    <row r="17" spans="1:3" s="276" customFormat="1" ht="14.25" customHeight="1" thickBot="1">
      <c r="A17" s="274"/>
      <c r="B17" s="512"/>
      <c r="C17" s="275"/>
    </row>
    <row r="18" spans="1:3" s="276" customFormat="1" ht="24.75" customHeight="1" thickBot="1">
      <c r="A18" s="301" t="s">
        <v>470</v>
      </c>
      <c r="B18" s="299">
        <f>IF(ISNUMBER(B15),B15,B16)</f>
      </c>
      <c r="C18" s="300"/>
    </row>
  </sheetData>
  <sheetProtection password="CFBB" sheet="1"/>
  <mergeCells count="3">
    <mergeCell ref="A3:C3"/>
    <mergeCell ref="A8:C8"/>
    <mergeCell ref="A1:C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41.28125" style="273" customWidth="1"/>
    <col min="2" max="2" width="18.00390625" style="302" customWidth="1"/>
    <col min="3" max="3" width="12.7109375" style="273" bestFit="1" customWidth="1"/>
    <col min="4" max="5" width="11.421875" style="273" hidden="1" customWidth="1"/>
    <col min="6" max="16384" width="11.421875" style="273" customWidth="1"/>
  </cols>
  <sheetData>
    <row r="1" spans="1:3" s="304" customFormat="1" ht="24.75" customHeight="1">
      <c r="A1" s="619" t="s">
        <v>141</v>
      </c>
      <c r="B1" s="619"/>
      <c r="C1" s="619"/>
    </row>
    <row r="2" spans="1:3" ht="7.5" customHeight="1" thickBot="1">
      <c r="A2" s="213"/>
      <c r="B2" s="213"/>
      <c r="C2" s="213"/>
    </row>
    <row r="3" spans="1:3" ht="15">
      <c r="A3" s="650" t="s">
        <v>437</v>
      </c>
      <c r="B3" s="377" t="s">
        <v>438</v>
      </c>
      <c r="C3" s="388" t="s">
        <v>439</v>
      </c>
    </row>
    <row r="4" spans="1:3" ht="14.25">
      <c r="A4" s="651"/>
      <c r="B4" s="210" t="s">
        <v>440</v>
      </c>
      <c r="C4" s="383" t="s">
        <v>441</v>
      </c>
    </row>
    <row r="5" spans="1:4" s="276" customFormat="1" ht="24.75" customHeight="1">
      <c r="A5" s="552" t="s">
        <v>442</v>
      </c>
      <c r="B5" s="385" t="s">
        <v>443</v>
      </c>
      <c r="C5" s="652"/>
      <c r="D5" s="276">
        <v>0</v>
      </c>
    </row>
    <row r="6" spans="1:4" s="276" customFormat="1" ht="24.75" customHeight="1">
      <c r="A6" s="552" t="s">
        <v>444</v>
      </c>
      <c r="B6" s="385" t="s">
        <v>445</v>
      </c>
      <c r="C6" s="653"/>
      <c r="D6" s="276">
        <v>1</v>
      </c>
    </row>
    <row r="7" spans="1:3" s="276" customFormat="1" ht="24.75" customHeight="1">
      <c r="A7" s="552" t="s">
        <v>446</v>
      </c>
      <c r="B7" s="385" t="s">
        <v>447</v>
      </c>
      <c r="C7" s="653"/>
    </row>
    <row r="8" spans="1:3" s="276" customFormat="1" ht="24.75" customHeight="1">
      <c r="A8" s="552" t="s">
        <v>448</v>
      </c>
      <c r="B8" s="385" t="s">
        <v>449</v>
      </c>
      <c r="C8" s="653"/>
    </row>
    <row r="9" spans="1:3" s="276" customFormat="1" ht="24.75" customHeight="1">
      <c r="A9" s="552" t="s">
        <v>450</v>
      </c>
      <c r="B9" s="385" t="s">
        <v>451</v>
      </c>
      <c r="C9" s="654"/>
    </row>
    <row r="10" spans="1:3" ht="24.75" customHeight="1">
      <c r="A10" s="378" t="s">
        <v>452</v>
      </c>
      <c r="B10" s="303"/>
      <c r="C10" s="379">
        <f>C5*35</f>
        <v>0</v>
      </c>
    </row>
    <row r="11" spans="1:3" ht="14.25" customHeight="1">
      <c r="A11" s="278"/>
      <c r="B11" s="380"/>
      <c r="C11" s="280"/>
    </row>
    <row r="12" spans="1:3" ht="14.25" customHeight="1">
      <c r="A12" s="278"/>
      <c r="B12" s="380"/>
      <c r="C12" s="280"/>
    </row>
    <row r="13" spans="1:3" s="276" customFormat="1" ht="24.75" customHeight="1">
      <c r="A13" s="552" t="s">
        <v>453</v>
      </c>
      <c r="B13" s="385" t="s">
        <v>22</v>
      </c>
      <c r="C13" s="387" t="s">
        <v>439</v>
      </c>
    </row>
    <row r="14" spans="1:5" s="276" customFormat="1" ht="24.75" customHeight="1">
      <c r="A14" s="553" t="s">
        <v>454</v>
      </c>
      <c r="B14" s="385" t="s">
        <v>455</v>
      </c>
      <c r="C14" s="527"/>
      <c r="D14" s="276">
        <v>0</v>
      </c>
      <c r="E14" s="276">
        <v>0</v>
      </c>
    </row>
    <row r="15" spans="1:5" s="276" customFormat="1" ht="24.75" customHeight="1">
      <c r="A15" s="553" t="s">
        <v>456</v>
      </c>
      <c r="B15" s="385" t="s">
        <v>236</v>
      </c>
      <c r="C15" s="527"/>
      <c r="D15" s="276">
        <v>5</v>
      </c>
      <c r="E15" s="276">
        <v>10</v>
      </c>
    </row>
    <row r="16" spans="1:5" s="276" customFormat="1" ht="24.75" customHeight="1">
      <c r="A16" s="553" t="s">
        <v>457</v>
      </c>
      <c r="B16" s="385" t="s">
        <v>458</v>
      </c>
      <c r="C16" s="527"/>
      <c r="D16" s="276">
        <v>0</v>
      </c>
      <c r="E16" s="276">
        <v>0</v>
      </c>
    </row>
    <row r="17" spans="1:5" s="276" customFormat="1" ht="24.75" customHeight="1">
      <c r="A17" s="554" t="s">
        <v>459</v>
      </c>
      <c r="B17" s="386" t="s">
        <v>460</v>
      </c>
      <c r="C17" s="527"/>
      <c r="D17" s="276">
        <v>12</v>
      </c>
      <c r="E17" s="276">
        <v>15</v>
      </c>
    </row>
    <row r="18" spans="1:3" s="304" customFormat="1" ht="24.75" customHeight="1">
      <c r="A18" s="381" t="s">
        <v>483</v>
      </c>
      <c r="B18" s="382"/>
      <c r="C18" s="384">
        <f>MAX(C14:C17)</f>
        <v>0</v>
      </c>
    </row>
    <row r="19" spans="1:3" ht="14.25" customHeight="1">
      <c r="A19" s="278"/>
      <c r="B19" s="380"/>
      <c r="C19" s="280"/>
    </row>
    <row r="20" spans="1:3" ht="14.25" customHeight="1" thickBot="1">
      <c r="A20" s="278"/>
      <c r="B20" s="380"/>
      <c r="C20" s="280"/>
    </row>
    <row r="21" spans="1:3" ht="24.75" customHeight="1" thickBot="1">
      <c r="A21" s="285" t="s">
        <v>461</v>
      </c>
      <c r="B21" s="305"/>
      <c r="C21" s="306">
        <f>C18+C10</f>
        <v>0</v>
      </c>
    </row>
  </sheetData>
  <sheetProtection password="CFBB" sheet="1"/>
  <mergeCells count="3">
    <mergeCell ref="A3:A4"/>
    <mergeCell ref="A1:C1"/>
    <mergeCell ref="C5:C9"/>
  </mergeCells>
  <dataValidations count="5">
    <dataValidation type="list" allowBlank="1" showInputMessage="1" showErrorMessage="1" errorTitle="Falscher Wert!" error="Bitte geben Sie die Zahl 0 oder 1 ein." sqref="C5">
      <formula1>$D$5:$D$6</formula1>
    </dataValidation>
    <dataValidation type="list" allowBlank="1" showInputMessage="1" showErrorMessage="1" errorTitle="Falscher Wert!" error="Bitte geben Sie die Zahl 0 oder 5 ein." sqref="C14">
      <formula1>$D$14:$D$15</formula1>
    </dataValidation>
    <dataValidation type="list" allowBlank="1" showInputMessage="1" showErrorMessage="1" errorTitle="Falscher Wert!" error="Bitte geben Sie die Zahl 0 oder 10 ein." sqref="C15">
      <formula1>$E$14:$E$15</formula1>
    </dataValidation>
    <dataValidation type="list" allowBlank="1" showInputMessage="1" showErrorMessage="1" errorTitle="Falscher Wert!" error="Bitte geben Sie die Zahl 0 oder 12 ein." sqref="C16">
      <formula1>$D$16:$D$17</formula1>
    </dataValidation>
    <dataValidation type="list" allowBlank="1" showInputMessage="1" showErrorMessage="1" errorTitle="Falscher Wert!" error="Bitte geben Sie die Zahl 0 oder 15 ein." sqref="C17">
      <formula1>$E$16:$E$17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60.28125" style="204" customWidth="1"/>
    <col min="2" max="2" width="15.421875" style="204" customWidth="1"/>
    <col min="3" max="3" width="12.57421875" style="205" customWidth="1"/>
    <col min="4" max="4" width="0" style="204" hidden="1" customWidth="1"/>
    <col min="5" max="16384" width="11.421875" style="204" customWidth="1"/>
  </cols>
  <sheetData>
    <row r="1" spans="1:5" ht="24.75" customHeight="1">
      <c r="A1" s="636" t="s">
        <v>13</v>
      </c>
      <c r="B1" s="636"/>
      <c r="C1" s="636"/>
      <c r="D1" s="208"/>
      <c r="E1" s="208"/>
    </row>
    <row r="2" spans="1:5" ht="7.5" customHeight="1" thickBot="1">
      <c r="A2" s="214"/>
      <c r="B2" s="214"/>
      <c r="C2" s="214"/>
      <c r="D2" s="208"/>
      <c r="E2" s="208"/>
    </row>
    <row r="3" spans="1:3" ht="31.5" customHeight="1">
      <c r="A3" s="516" t="s">
        <v>174</v>
      </c>
      <c r="B3" s="517" t="s">
        <v>207</v>
      </c>
      <c r="C3" s="518" t="s">
        <v>208</v>
      </c>
    </row>
    <row r="4" spans="1:3" s="545" customFormat="1" ht="51.75" customHeight="1">
      <c r="A4" s="544" t="s">
        <v>209</v>
      </c>
      <c r="B4" s="329"/>
      <c r="C4" s="655">
        <v>0</v>
      </c>
    </row>
    <row r="5" spans="1:4" s="545" customFormat="1" ht="27.75" customHeight="1">
      <c r="A5" s="546" t="s">
        <v>493</v>
      </c>
      <c r="B5" s="329">
        <v>0</v>
      </c>
      <c r="C5" s="656"/>
      <c r="D5" s="545">
        <v>0</v>
      </c>
    </row>
    <row r="6" spans="1:4" s="545" customFormat="1" ht="24.75" customHeight="1">
      <c r="A6" s="547" t="s">
        <v>492</v>
      </c>
      <c r="B6" s="329">
        <v>20</v>
      </c>
      <c r="C6" s="656"/>
      <c r="D6" s="545">
        <v>20</v>
      </c>
    </row>
    <row r="7" spans="1:4" s="545" customFormat="1" ht="24.75" customHeight="1">
      <c r="A7" s="544" t="s">
        <v>210</v>
      </c>
      <c r="B7" s="329">
        <v>40</v>
      </c>
      <c r="C7" s="656"/>
      <c r="D7" s="545">
        <v>40</v>
      </c>
    </row>
    <row r="8" spans="1:4" s="545" customFormat="1" ht="24.75" customHeight="1" thickBot="1">
      <c r="A8" s="548" t="s">
        <v>211</v>
      </c>
      <c r="B8" s="332">
        <v>50</v>
      </c>
      <c r="C8" s="656"/>
      <c r="D8" s="545">
        <v>50</v>
      </c>
    </row>
    <row r="9" spans="1:4" s="545" customFormat="1" ht="39" customHeight="1">
      <c r="A9" s="549" t="s">
        <v>212</v>
      </c>
      <c r="B9" s="327"/>
      <c r="C9" s="656"/>
      <c r="D9" s="545">
        <v>75</v>
      </c>
    </row>
    <row r="10" spans="1:3" s="545" customFormat="1" ht="27" customHeight="1">
      <c r="A10" s="547" t="s">
        <v>213</v>
      </c>
      <c r="B10" s="329">
        <v>75</v>
      </c>
      <c r="C10" s="656"/>
    </row>
    <row r="11" spans="1:3" s="545" customFormat="1" ht="26.25" customHeight="1">
      <c r="A11" s="547" t="s">
        <v>214</v>
      </c>
      <c r="B11" s="329">
        <v>40</v>
      </c>
      <c r="C11" s="656"/>
    </row>
    <row r="12" spans="1:3" s="545" customFormat="1" ht="24.75" customHeight="1">
      <c r="A12" s="550" t="s">
        <v>215</v>
      </c>
      <c r="B12" s="551">
        <v>40</v>
      </c>
      <c r="C12" s="657"/>
    </row>
    <row r="13" spans="1:3" ht="24.75" customHeight="1" thickBot="1">
      <c r="A13" s="316" t="s">
        <v>192</v>
      </c>
      <c r="B13" s="317"/>
      <c r="C13" s="307">
        <f>IF(SUM(C4:C12)&lt;75,SUM(C4:C12),75)</f>
        <v>0</v>
      </c>
    </row>
    <row r="15" ht="12.75">
      <c r="A15" s="206"/>
    </row>
    <row r="16" ht="12.75">
      <c r="A16" s="206"/>
    </row>
    <row r="17" ht="12.75">
      <c r="A17" s="206"/>
    </row>
    <row r="18" ht="12.75">
      <c r="A18" s="206"/>
    </row>
  </sheetData>
  <sheetProtection password="CFBB" sheet="1"/>
  <mergeCells count="2">
    <mergeCell ref="A1:C1"/>
    <mergeCell ref="C4:C12"/>
  </mergeCells>
  <dataValidations count="1">
    <dataValidation type="list" allowBlank="1" showInputMessage="1" showErrorMessage="1" errorTitle="Falscher Wert!" error="Bitte geben Sie die Zahl 0,20,40,50 oder 75 ein." sqref="C4:C12">
      <formula1>$D$5:$D$9</formula1>
    </dataValidation>
  </dataValidations>
  <hyperlinks>
    <hyperlink ref="A18" location="_ftnref4" display="_ftnref4"/>
    <hyperlink ref="A17" location="_ftnref3" display="_ftnref3"/>
    <hyperlink ref="A16" location="_ftnref2" display="_ftnref2"/>
    <hyperlink ref="A15" location="_ftnref1" display="_ftnref1"/>
  </hyperlink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1.421875" style="205" customWidth="1"/>
    <col min="2" max="2" width="20.421875" style="205" customWidth="1"/>
    <col min="3" max="3" width="23.140625" style="205" customWidth="1"/>
    <col min="4" max="4" width="12.57421875" style="205" customWidth="1"/>
    <col min="5" max="5" width="11.421875" style="205" hidden="1" customWidth="1"/>
    <col min="6" max="16384" width="11.421875" style="205" customWidth="1"/>
  </cols>
  <sheetData>
    <row r="1" spans="1:4" ht="24.75" customHeight="1">
      <c r="A1" s="636" t="s">
        <v>143</v>
      </c>
      <c r="B1" s="636"/>
      <c r="C1" s="636"/>
      <c r="D1" s="636"/>
    </row>
    <row r="2" spans="1:4" ht="7.5" customHeight="1" thickBot="1">
      <c r="A2" s="211"/>
      <c r="B2" s="211"/>
      <c r="C2" s="211"/>
      <c r="D2" s="211"/>
    </row>
    <row r="3" spans="1:4" s="248" customFormat="1" ht="24.75" customHeight="1" thickBot="1">
      <c r="A3" s="658" t="s">
        <v>216</v>
      </c>
      <c r="B3" s="659"/>
      <c r="C3" s="660"/>
      <c r="D3" s="519" t="s">
        <v>196</v>
      </c>
    </row>
    <row r="4" spans="1:5" s="248" customFormat="1" ht="24.75" customHeight="1">
      <c r="A4" s="318" t="s">
        <v>217</v>
      </c>
      <c r="B4" s="272" t="s">
        <v>218</v>
      </c>
      <c r="C4" s="313" t="s">
        <v>219</v>
      </c>
      <c r="D4" s="667"/>
      <c r="E4" s="248">
        <v>0</v>
      </c>
    </row>
    <row r="5" spans="1:5" s="248" customFormat="1" ht="24.75" customHeight="1">
      <c r="A5" s="318" t="s">
        <v>220</v>
      </c>
      <c r="B5" s="272" t="s">
        <v>221</v>
      </c>
      <c r="C5" s="313" t="s">
        <v>222</v>
      </c>
      <c r="D5" s="656"/>
      <c r="E5" s="248">
        <v>20</v>
      </c>
    </row>
    <row r="6" spans="1:5" s="248" customFormat="1" ht="24.75" customHeight="1">
      <c r="A6" s="318" t="s">
        <v>223</v>
      </c>
      <c r="B6" s="272" t="s">
        <v>224</v>
      </c>
      <c r="C6" s="313" t="s">
        <v>225</v>
      </c>
      <c r="D6" s="656"/>
      <c r="E6" s="248">
        <v>35</v>
      </c>
    </row>
    <row r="7" spans="1:5" s="248" customFormat="1" ht="24.75" customHeight="1">
      <c r="A7" s="318" t="s">
        <v>226</v>
      </c>
      <c r="B7" s="272" t="s">
        <v>227</v>
      </c>
      <c r="C7" s="313" t="s">
        <v>228</v>
      </c>
      <c r="D7" s="656"/>
      <c r="E7" s="248">
        <v>50</v>
      </c>
    </row>
    <row r="8" spans="1:4" s="248" customFormat="1" ht="24.75" customHeight="1">
      <c r="A8" s="319"/>
      <c r="B8" s="272" t="s">
        <v>229</v>
      </c>
      <c r="C8" s="313" t="s">
        <v>230</v>
      </c>
      <c r="D8" s="657"/>
    </row>
    <row r="9" spans="1:4" ht="24.75" customHeight="1">
      <c r="A9" s="661" t="s">
        <v>231</v>
      </c>
      <c r="B9" s="662"/>
      <c r="C9" s="663"/>
      <c r="D9" s="312"/>
    </row>
    <row r="10" spans="1:5" s="248" customFormat="1" ht="24.75" customHeight="1">
      <c r="A10" s="318" t="s">
        <v>217</v>
      </c>
      <c r="B10" s="272" t="s">
        <v>232</v>
      </c>
      <c r="C10" s="313" t="s">
        <v>233</v>
      </c>
      <c r="D10" s="668"/>
      <c r="E10" s="248">
        <v>0</v>
      </c>
    </row>
    <row r="11" spans="1:5" s="248" customFormat="1" ht="24.75" customHeight="1">
      <c r="A11" s="318" t="s">
        <v>220</v>
      </c>
      <c r="B11" s="272" t="s">
        <v>234</v>
      </c>
      <c r="C11" s="313" t="s">
        <v>225</v>
      </c>
      <c r="D11" s="656"/>
      <c r="E11" s="248">
        <v>10</v>
      </c>
    </row>
    <row r="12" spans="1:5" s="248" customFormat="1" ht="24.75" customHeight="1">
      <c r="A12" s="318" t="s">
        <v>223</v>
      </c>
      <c r="B12" s="272" t="s">
        <v>235</v>
      </c>
      <c r="C12" s="313" t="s">
        <v>236</v>
      </c>
      <c r="D12" s="656"/>
      <c r="E12" s="248">
        <v>20</v>
      </c>
    </row>
    <row r="13" spans="1:5" s="248" customFormat="1" ht="24.75" customHeight="1">
      <c r="A13" s="320" t="s">
        <v>226</v>
      </c>
      <c r="B13" s="314" t="s">
        <v>237</v>
      </c>
      <c r="C13" s="315" t="s">
        <v>228</v>
      </c>
      <c r="D13" s="657"/>
      <c r="E13" s="248">
        <v>30</v>
      </c>
    </row>
    <row r="14" spans="1:4" s="311" customFormat="1" ht="24.75" customHeight="1" thickBot="1">
      <c r="A14" s="664" t="s">
        <v>192</v>
      </c>
      <c r="B14" s="665"/>
      <c r="C14" s="666"/>
      <c r="D14" s="307">
        <f>IF(SUM(D4:D13)&lt;75,SUM(D4:D13),75)</f>
        <v>0</v>
      </c>
    </row>
  </sheetData>
  <sheetProtection password="CFBB" sheet="1"/>
  <mergeCells count="6">
    <mergeCell ref="A3:C3"/>
    <mergeCell ref="A9:C9"/>
    <mergeCell ref="A1:D1"/>
    <mergeCell ref="A14:C14"/>
    <mergeCell ref="D4:D8"/>
    <mergeCell ref="D10:D13"/>
  </mergeCells>
  <dataValidations count="2">
    <dataValidation type="list" allowBlank="1" showInputMessage="1" showErrorMessage="1" errorTitle="Falscher Wert!" error="Bitte geben Sie die Zahl 0,20,35 oder 50 ein." sqref="D4:D8">
      <formula1>$E$4:$E$7</formula1>
    </dataValidation>
    <dataValidation type="list" allowBlank="1" showInputMessage="1" showErrorMessage="1" errorTitle="Falscher Wert!" error="Bitte geben Sie die Zahl 0,10,20 oder 30 ein." sqref="D10:D13">
      <formula1>$E$10:$E$13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88.421875" style="321" customWidth="1"/>
    <col min="2" max="2" width="11.421875" style="322" customWidth="1"/>
    <col min="3" max="3" width="13.421875" style="321" customWidth="1"/>
    <col min="4" max="5" width="11.421875" style="321" hidden="1" customWidth="1"/>
    <col min="6" max="16384" width="11.421875" style="321" customWidth="1"/>
  </cols>
  <sheetData>
    <row r="1" spans="1:4" s="324" customFormat="1" ht="24.75" customHeight="1">
      <c r="A1" s="636" t="s">
        <v>142</v>
      </c>
      <c r="B1" s="636"/>
      <c r="C1" s="636"/>
      <c r="D1" s="323"/>
    </row>
    <row r="2" spans="1:4" s="324" customFormat="1" ht="7.5" customHeight="1" thickBot="1">
      <c r="A2" s="325"/>
      <c r="B2" s="325"/>
      <c r="C2" s="325"/>
      <c r="D2" s="323"/>
    </row>
    <row r="3" spans="1:3" s="324" customFormat="1" ht="24.75" customHeight="1" thickBot="1">
      <c r="A3" s="373" t="s">
        <v>174</v>
      </c>
      <c r="B3" s="374" t="s">
        <v>22</v>
      </c>
      <c r="C3" s="337" t="s">
        <v>196</v>
      </c>
    </row>
    <row r="4" spans="1:3" s="324" customFormat="1" ht="24.75" customHeight="1">
      <c r="A4" s="326" t="s">
        <v>238</v>
      </c>
      <c r="B4" s="669" t="s">
        <v>239</v>
      </c>
      <c r="C4" s="672"/>
    </row>
    <row r="5" spans="1:8" s="324" customFormat="1" ht="24.75" customHeight="1">
      <c r="A5" s="328" t="s">
        <v>240</v>
      </c>
      <c r="B5" s="670"/>
      <c r="C5" s="673"/>
      <c r="H5" s="330" t="s">
        <v>241</v>
      </c>
    </row>
    <row r="6" spans="1:3" s="324" customFormat="1" ht="24.75" customHeight="1">
      <c r="A6" s="328" t="s">
        <v>242</v>
      </c>
      <c r="B6" s="670"/>
      <c r="C6" s="673"/>
    </row>
    <row r="7" spans="1:3" s="324" customFormat="1" ht="24.75" customHeight="1" thickBot="1">
      <c r="A7" s="331" t="s">
        <v>243</v>
      </c>
      <c r="B7" s="671"/>
      <c r="C7" s="674"/>
    </row>
    <row r="8" spans="1:4" s="324" customFormat="1" ht="24.75" customHeight="1">
      <c r="A8" s="326" t="s">
        <v>244</v>
      </c>
      <c r="B8" s="669" t="s">
        <v>225</v>
      </c>
      <c r="C8" s="675"/>
      <c r="D8" s="324">
        <v>0</v>
      </c>
    </row>
    <row r="9" spans="1:4" s="324" customFormat="1" ht="24.75" customHeight="1" thickBot="1">
      <c r="A9" s="333" t="s">
        <v>245</v>
      </c>
      <c r="B9" s="671"/>
      <c r="C9" s="676"/>
      <c r="D9" s="324">
        <v>20</v>
      </c>
    </row>
    <row r="10" spans="1:3" s="324" customFormat="1" ht="24.75" customHeight="1">
      <c r="A10" s="326" t="s">
        <v>246</v>
      </c>
      <c r="B10" s="327"/>
      <c r="C10" s="536"/>
    </row>
    <row r="11" spans="1:5" s="324" customFormat="1" ht="24.75" customHeight="1">
      <c r="A11" s="334" t="s">
        <v>247</v>
      </c>
      <c r="B11" s="329" t="s">
        <v>236</v>
      </c>
      <c r="C11" s="537"/>
      <c r="D11" s="324">
        <v>0</v>
      </c>
      <c r="E11" s="324">
        <v>0</v>
      </c>
    </row>
    <row r="12" spans="1:5" s="324" customFormat="1" ht="24.75" customHeight="1" thickBot="1">
      <c r="A12" s="335" t="s">
        <v>248</v>
      </c>
      <c r="B12" s="332" t="s">
        <v>249</v>
      </c>
      <c r="C12" s="532"/>
      <c r="D12" s="324">
        <v>10</v>
      </c>
      <c r="E12" s="324">
        <v>5</v>
      </c>
    </row>
    <row r="13" spans="1:3" s="324" customFormat="1" ht="24.75" customHeight="1" thickBot="1">
      <c r="A13" s="375" t="s">
        <v>192</v>
      </c>
      <c r="B13" s="376"/>
      <c r="C13" s="336">
        <f>IF(SUM(C4:C12)&lt;30,SUM(C4:C12),30)</f>
        <v>0</v>
      </c>
    </row>
  </sheetData>
  <sheetProtection password="CFBB" sheet="1"/>
  <mergeCells count="5">
    <mergeCell ref="A1:C1"/>
    <mergeCell ref="B4:B7"/>
    <mergeCell ref="C4:C7"/>
    <mergeCell ref="B8:B9"/>
    <mergeCell ref="C8:C9"/>
  </mergeCells>
  <dataValidations count="4">
    <dataValidation allowBlank="1" showInputMessage="1" showErrorMessage="1" errorTitle="Falscher Wert!" sqref="C4:C7"/>
    <dataValidation type="list" allowBlank="1" showInputMessage="1" showErrorMessage="1" errorTitle="Falscher Wert!" error="Bitte geben Sie die Zahl 0 oder 20 ein." sqref="C8:C9">
      <formula1>$D$8:$D$9</formula1>
    </dataValidation>
    <dataValidation type="list" allowBlank="1" showInputMessage="1" showErrorMessage="1" errorTitle="Falscher Wert!" error="Bitte geben Sie die Zahl 0 oder 10 ein." sqref="C11">
      <formula1>$D$11:$D$12</formula1>
    </dataValidation>
    <dataValidation type="list" allowBlank="1" showInputMessage="1" showErrorMessage="1" errorTitle="Falscher Wert!" error="Bitte geben Sie die Zahl 0 oder 5 ein." sqref="C12">
      <formula1>$E$11:$E$12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46.28125" style="205" customWidth="1"/>
    <col min="2" max="2" width="23.8515625" style="205" customWidth="1"/>
    <col min="3" max="3" width="11.00390625" style="207" customWidth="1"/>
    <col min="4" max="4" width="7.421875" style="205" hidden="1" customWidth="1"/>
    <col min="5" max="5" width="12.57421875" style="205" hidden="1" customWidth="1"/>
    <col min="6" max="16384" width="11.421875" style="205" customWidth="1"/>
  </cols>
  <sheetData>
    <row r="1" spans="1:3" s="248" customFormat="1" ht="24.75" customHeight="1">
      <c r="A1" s="636" t="s">
        <v>477</v>
      </c>
      <c r="B1" s="636"/>
      <c r="C1" s="325"/>
    </row>
    <row r="2" spans="1:3" s="248" customFormat="1" ht="7.5" customHeight="1" thickBot="1">
      <c r="A2" s="325"/>
      <c r="B2" s="325"/>
      <c r="C2" s="325"/>
    </row>
    <row r="3" spans="1:5" s="248" customFormat="1" ht="24.75" customHeight="1">
      <c r="A3" s="680" t="s">
        <v>462</v>
      </c>
      <c r="B3" s="681"/>
      <c r="C3" s="682"/>
      <c r="D3" s="365"/>
      <c r="E3" s="366"/>
    </row>
    <row r="4" spans="1:5" s="248" customFormat="1" ht="24.75" customHeight="1">
      <c r="A4" s="319" t="s">
        <v>255</v>
      </c>
      <c r="B4" s="539"/>
      <c r="C4" s="340" t="s">
        <v>253</v>
      </c>
      <c r="D4" s="338"/>
      <c r="E4" s="340"/>
    </row>
    <row r="5" spans="1:5" s="248" customFormat="1" ht="24.75" customHeight="1">
      <c r="A5" s="319" t="s">
        <v>256</v>
      </c>
      <c r="B5" s="539"/>
      <c r="C5" s="340" t="s">
        <v>253</v>
      </c>
      <c r="D5" s="338"/>
      <c r="E5" s="340"/>
    </row>
    <row r="6" spans="1:5" s="248" customFormat="1" ht="14.25" customHeight="1">
      <c r="A6" s="364"/>
      <c r="B6" s="363"/>
      <c r="C6" s="342"/>
      <c r="D6" s="338"/>
      <c r="E6" s="340"/>
    </row>
    <row r="7" spans="1:5" s="248" customFormat="1" ht="24.75" customHeight="1">
      <c r="A7" s="677" t="s">
        <v>257</v>
      </c>
      <c r="B7" s="678"/>
      <c r="C7" s="679"/>
      <c r="D7" s="338"/>
      <c r="E7" s="340"/>
    </row>
    <row r="8" spans="1:5" s="248" customFormat="1" ht="24.75" customHeight="1">
      <c r="A8" s="319" t="s">
        <v>258</v>
      </c>
      <c r="B8" s="539"/>
      <c r="C8" s="340" t="s">
        <v>259</v>
      </c>
      <c r="D8" s="338"/>
      <c r="E8" s="340"/>
    </row>
    <row r="9" spans="1:5" s="248" customFormat="1" ht="24.75" customHeight="1">
      <c r="A9" s="319" t="s">
        <v>260</v>
      </c>
      <c r="B9" s="539"/>
      <c r="C9" s="521" t="s">
        <v>261</v>
      </c>
      <c r="D9" s="338"/>
      <c r="E9" s="340"/>
    </row>
    <row r="10" spans="1:5" s="248" customFormat="1" ht="24.75" customHeight="1">
      <c r="A10" s="319" t="s">
        <v>262</v>
      </c>
      <c r="B10" s="539"/>
      <c r="C10" s="521" t="s">
        <v>263</v>
      </c>
      <c r="D10" s="338"/>
      <c r="E10" s="340"/>
    </row>
    <row r="11" spans="1:5" s="248" customFormat="1" ht="14.25" customHeight="1">
      <c r="A11" s="364"/>
      <c r="B11" s="540"/>
      <c r="C11" s="342"/>
      <c r="D11" s="338"/>
      <c r="E11" s="340"/>
    </row>
    <row r="12" spans="1:5" s="248" customFormat="1" ht="24.75" customHeight="1" thickBot="1">
      <c r="A12" s="339" t="s">
        <v>497</v>
      </c>
      <c r="B12" s="528"/>
      <c r="C12" s="343"/>
      <c r="D12" s="338"/>
      <c r="E12" s="340"/>
    </row>
    <row r="13" spans="1:5" s="248" customFormat="1" ht="14.25" customHeight="1">
      <c r="A13" s="477"/>
      <c r="B13" s="365"/>
      <c r="C13" s="366"/>
      <c r="D13" s="338"/>
      <c r="E13" s="340"/>
    </row>
    <row r="14" spans="1:5" s="248" customFormat="1" ht="24.75" customHeight="1">
      <c r="A14" s="475" t="s">
        <v>265</v>
      </c>
      <c r="B14" s="323"/>
      <c r="C14" s="476"/>
      <c r="D14" s="323"/>
      <c r="E14" s="476"/>
    </row>
    <row r="15" spans="1:5" s="248" customFormat="1" ht="24.75" customHeight="1">
      <c r="A15" s="368" t="s">
        <v>250</v>
      </c>
      <c r="B15" s="341" t="e">
        <f>IF(ISNUMBER(B12),B12,1/3*(0.5*B9/B16+400*B10/B16+0.1*B8/B16))</f>
        <v>#DIV/0!</v>
      </c>
      <c r="C15" s="520"/>
      <c r="D15" s="473" t="s">
        <v>251</v>
      </c>
      <c r="E15" s="474" t="e">
        <f>-100/600*B15+150</f>
        <v>#DIV/0!</v>
      </c>
    </row>
    <row r="16" spans="1:5" s="248" customFormat="1" ht="24.75" customHeight="1">
      <c r="A16" s="368" t="s">
        <v>252</v>
      </c>
      <c r="B16" s="538">
        <f>B4+0.5*B5</f>
        <v>0</v>
      </c>
      <c r="C16" s="520" t="s">
        <v>253</v>
      </c>
      <c r="D16" s="473" t="s">
        <v>254</v>
      </c>
      <c r="E16" s="474" t="e">
        <f>-125/600*B15+375/2</f>
        <v>#DIV/0!</v>
      </c>
    </row>
    <row r="17" spans="1:5" s="248" customFormat="1" ht="14.25" customHeight="1">
      <c r="A17" s="367"/>
      <c r="B17" s="338"/>
      <c r="C17" s="340"/>
      <c r="D17" s="338"/>
      <c r="E17" s="340"/>
    </row>
    <row r="18" spans="1:5" s="284" customFormat="1" ht="24.75" customHeight="1" thickBot="1">
      <c r="A18" s="369" t="s">
        <v>264</v>
      </c>
      <c r="B18" s="370" t="e">
        <f>IF(AND(E15&gt;=0,E15&lt;=100),E15,IF(E15&gt;100,100,IF(E15&lt;=0,0)))</f>
        <v>#DIV/0!</v>
      </c>
      <c r="C18" s="372"/>
      <c r="D18" s="371"/>
      <c r="E18" s="372"/>
    </row>
  </sheetData>
  <sheetProtection password="CFBB" sheet="1"/>
  <mergeCells count="3">
    <mergeCell ref="A1:B1"/>
    <mergeCell ref="A7:C7"/>
    <mergeCell ref="A3:C3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906"/>
  <sheetViews>
    <sheetView showGridLines="0" zoomScale="120" zoomScaleNormal="120"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J39" sqref="J39"/>
    </sheetView>
  </sheetViews>
  <sheetFormatPr defaultColWidth="11.421875" defaultRowHeight="12.75" outlineLevelRow="2" outlineLevelCol="1"/>
  <cols>
    <col min="1" max="1" width="0.85546875" style="4" customWidth="1"/>
    <col min="2" max="2" width="3.00390625" style="5" bestFit="1" customWidth="1"/>
    <col min="3" max="3" width="2.7109375" style="9" bestFit="1" customWidth="1"/>
    <col min="4" max="4" width="3.140625" style="11" bestFit="1" customWidth="1"/>
    <col min="5" max="5" width="62.28125" style="4" customWidth="1"/>
    <col min="6" max="6" width="10.57421875" style="5" bestFit="1" customWidth="1"/>
    <col min="7" max="7" width="7.28125" style="5" bestFit="1" customWidth="1"/>
    <col min="8" max="8" width="7.140625" style="74" customWidth="1" outlineLevel="1"/>
    <col min="9" max="9" width="2.7109375" style="87" customWidth="1"/>
    <col min="10" max="10" width="7.00390625" style="94" customWidth="1" outlineLevel="1"/>
    <col min="11" max="11" width="6.8515625" style="5" customWidth="1" outlineLevel="1"/>
    <col min="12" max="12" width="10.57421875" style="5" customWidth="1" outlineLevel="1"/>
    <col min="13" max="13" width="8.28125" style="87" customWidth="1" outlineLevel="1"/>
    <col min="14" max="14" width="2.28125" style="87" customWidth="1"/>
    <col min="15" max="16" width="8.8515625" style="87" hidden="1" customWidth="1" outlineLevel="1"/>
    <col min="17" max="17" width="2.28125" style="87" customWidth="1" collapsed="1"/>
    <col min="18" max="18" width="5.57421875" style="87" hidden="1" customWidth="1" outlineLevel="1"/>
    <col min="19" max="19" width="8.140625" style="87" hidden="1" customWidth="1" outlineLevel="1"/>
    <col min="20" max="20" width="2.28125" style="87" customWidth="1" collapsed="1"/>
    <col min="21" max="21" width="7.57421875" style="87" hidden="1" customWidth="1" outlineLevel="1"/>
    <col min="22" max="22" width="12.00390625" style="87" hidden="1" customWidth="1" outlineLevel="1"/>
    <col min="23" max="23" width="2.28125" style="87" customWidth="1" collapsed="1"/>
    <col min="24" max="24" width="7.57421875" style="87" hidden="1" customWidth="1" outlineLevel="1"/>
    <col min="25" max="25" width="12.00390625" style="87" hidden="1" customWidth="1" outlineLevel="1"/>
    <col min="26" max="26" width="2.28125" style="87" customWidth="1" collapsed="1"/>
    <col min="27" max="27" width="7.57421875" style="87" hidden="1" customWidth="1" outlineLevel="1"/>
    <col min="28" max="28" width="12.00390625" style="87" hidden="1" customWidth="1" outlineLevel="1"/>
    <col min="29" max="29" width="2.28125" style="87" customWidth="1" collapsed="1"/>
    <col min="30" max="30" width="7.57421875" style="87" hidden="1" customWidth="1" outlineLevel="1"/>
    <col min="31" max="31" width="12.00390625" style="87" hidden="1" customWidth="1" outlineLevel="1"/>
    <col min="32" max="32" width="3.00390625" style="87" customWidth="1" collapsed="1"/>
    <col min="33" max="33" width="3.00390625" style="87" customWidth="1"/>
    <col min="34" max="34" width="2.28125" style="87" customWidth="1"/>
    <col min="35" max="35" width="7.140625" style="87" customWidth="1"/>
    <col min="36" max="36" width="2.421875" style="4" customWidth="1"/>
    <col min="38" max="16384" width="11.421875" style="4" customWidth="1"/>
  </cols>
  <sheetData>
    <row r="1" spans="4:37" ht="51.75" customHeight="1">
      <c r="D1" s="76"/>
      <c r="E1" s="572"/>
      <c r="F1" s="573"/>
      <c r="G1" s="573"/>
      <c r="H1" s="127"/>
      <c r="I1" s="93"/>
      <c r="J1" s="126"/>
      <c r="K1" s="126"/>
      <c r="L1" s="128"/>
      <c r="M1" s="114"/>
      <c r="N1" s="93"/>
      <c r="O1" s="114"/>
      <c r="P1" s="114"/>
      <c r="Q1" s="93"/>
      <c r="R1" s="114"/>
      <c r="S1" s="114"/>
      <c r="T1" s="93"/>
      <c r="U1" s="114"/>
      <c r="V1" s="114"/>
      <c r="W1" s="93"/>
      <c r="X1" s="114"/>
      <c r="Y1" s="114"/>
      <c r="Z1" s="93"/>
      <c r="AA1" s="114"/>
      <c r="AB1" s="114"/>
      <c r="AC1" s="93"/>
      <c r="AD1" s="114"/>
      <c r="AE1" s="114"/>
      <c r="AF1" s="114"/>
      <c r="AG1" s="114"/>
      <c r="AH1" s="93"/>
      <c r="AI1" s="93"/>
      <c r="AK1" s="4"/>
    </row>
    <row r="2" spans="10:11" ht="5.25" customHeight="1">
      <c r="J2" s="4"/>
      <c r="K2" s="4"/>
    </row>
    <row r="3" spans="4:37" ht="16.5" hidden="1" thickBot="1">
      <c r="D3" s="76"/>
      <c r="E3" s="77"/>
      <c r="F3" s="75" t="s">
        <v>47</v>
      </c>
      <c r="G3" s="103">
        <f>G62+G47++G18+G6</f>
        <v>1000</v>
      </c>
      <c r="H3" s="129">
        <f>H6+H18+H47+H62</f>
        <v>1180</v>
      </c>
      <c r="I3" s="93"/>
      <c r="J3" s="609" t="s">
        <v>48</v>
      </c>
      <c r="K3" s="609"/>
      <c r="L3" s="155">
        <f>COUNTA(L27:L83,L6:L22)+1</f>
        <v>57</v>
      </c>
      <c r="M3" s="156">
        <f>M6+M18+M47+M62</f>
        <v>290</v>
      </c>
      <c r="N3" s="93"/>
      <c r="O3" s="562">
        <f>O6+O18+O47+O62</f>
        <v>790</v>
      </c>
      <c r="P3" s="558"/>
      <c r="Q3" s="93"/>
      <c r="R3" s="562">
        <f>R6+R18+R47+R62</f>
        <v>795</v>
      </c>
      <c r="S3" s="558"/>
      <c r="T3" s="93"/>
      <c r="U3" s="562">
        <f>U6+U18+U47+U62</f>
        <v>920</v>
      </c>
      <c r="V3" s="558"/>
      <c r="W3" s="93"/>
      <c r="X3" s="562">
        <f>X6+X18+X47+X62</f>
        <v>785</v>
      </c>
      <c r="Y3" s="558"/>
      <c r="Z3" s="93"/>
      <c r="AA3" s="562">
        <f>AA6+AA18+AA47+AA62</f>
        <v>815</v>
      </c>
      <c r="AB3" s="558"/>
      <c r="AC3" s="93"/>
      <c r="AD3" s="562">
        <f>AD6+AD18+AD47+AD62</f>
        <v>735</v>
      </c>
      <c r="AE3" s="558"/>
      <c r="AF3" s="114"/>
      <c r="AG3" s="114"/>
      <c r="AH3" s="93"/>
      <c r="AI3" s="93"/>
      <c r="AK3" s="4"/>
    </row>
    <row r="4" spans="2:35" ht="51" customHeight="1">
      <c r="B4" s="598" t="s">
        <v>20</v>
      </c>
      <c r="C4" s="599"/>
      <c r="D4" s="600"/>
      <c r="E4" s="604" t="s">
        <v>21</v>
      </c>
      <c r="F4" s="604" t="s">
        <v>107</v>
      </c>
      <c r="G4" s="73" t="s">
        <v>54</v>
      </c>
      <c r="H4" s="73" t="s">
        <v>53</v>
      </c>
      <c r="I4" s="88"/>
      <c r="J4" s="610" t="s">
        <v>42</v>
      </c>
      <c r="K4" s="611"/>
      <c r="L4" s="153" t="s">
        <v>49</v>
      </c>
      <c r="M4" s="154" t="s">
        <v>9</v>
      </c>
      <c r="N4" s="88"/>
      <c r="O4" s="555" t="s">
        <v>80</v>
      </c>
      <c r="P4" s="556"/>
      <c r="Q4" s="88"/>
      <c r="R4" s="555" t="s">
        <v>69</v>
      </c>
      <c r="S4" s="556"/>
      <c r="T4" s="88"/>
      <c r="U4" s="555" t="s">
        <v>70</v>
      </c>
      <c r="V4" s="556"/>
      <c r="W4" s="88"/>
      <c r="X4" s="555" t="s">
        <v>84</v>
      </c>
      <c r="Y4" s="556"/>
      <c r="Z4" s="88"/>
      <c r="AA4" s="555" t="s">
        <v>73</v>
      </c>
      <c r="AB4" s="556"/>
      <c r="AC4" s="88"/>
      <c r="AD4" s="555" t="s">
        <v>75</v>
      </c>
      <c r="AE4" s="556"/>
      <c r="AF4" s="113"/>
      <c r="AG4" s="113"/>
      <c r="AH4" s="88"/>
      <c r="AI4" s="88"/>
    </row>
    <row r="5" spans="2:35" s="6" customFormat="1" ht="13.5" thickBot="1">
      <c r="B5" s="601"/>
      <c r="C5" s="602"/>
      <c r="D5" s="603"/>
      <c r="E5" s="605"/>
      <c r="F5" s="605"/>
      <c r="G5" s="606" t="s">
        <v>22</v>
      </c>
      <c r="H5" s="606"/>
      <c r="I5" s="88"/>
      <c r="J5" s="68" t="s">
        <v>40</v>
      </c>
      <c r="K5" s="68" t="s">
        <v>41</v>
      </c>
      <c r="L5" s="73" t="s">
        <v>72</v>
      </c>
      <c r="M5" s="107" t="s">
        <v>22</v>
      </c>
      <c r="N5" s="88"/>
      <c r="O5" s="107" t="s">
        <v>72</v>
      </c>
      <c r="P5" s="107" t="s">
        <v>22</v>
      </c>
      <c r="Q5" s="88"/>
      <c r="R5" s="107" t="s">
        <v>72</v>
      </c>
      <c r="S5" s="107" t="s">
        <v>22</v>
      </c>
      <c r="T5" s="88"/>
      <c r="U5" s="107" t="s">
        <v>72</v>
      </c>
      <c r="V5" s="107" t="s">
        <v>22</v>
      </c>
      <c r="W5" s="88"/>
      <c r="X5" s="107" t="s">
        <v>72</v>
      </c>
      <c r="Y5" s="107" t="s">
        <v>22</v>
      </c>
      <c r="Z5" s="88"/>
      <c r="AA5" s="107" t="s">
        <v>72</v>
      </c>
      <c r="AB5" s="107" t="s">
        <v>22</v>
      </c>
      <c r="AC5" s="88"/>
      <c r="AD5" s="107" t="s">
        <v>72</v>
      </c>
      <c r="AE5" s="107" t="s">
        <v>22</v>
      </c>
      <c r="AF5" s="88"/>
      <c r="AG5" s="88"/>
      <c r="AH5" s="88"/>
      <c r="AI5" s="88"/>
    </row>
    <row r="6" spans="2:35" s="7" customFormat="1" ht="15.75">
      <c r="B6" s="43" t="s">
        <v>6</v>
      </c>
      <c r="C6" s="44"/>
      <c r="D6" s="45"/>
      <c r="E6" s="46" t="s">
        <v>62</v>
      </c>
      <c r="F6" s="99">
        <v>100</v>
      </c>
      <c r="G6" s="132">
        <f>IF(H6&gt;F6,F6,H6)</f>
        <v>100</v>
      </c>
      <c r="H6" s="130">
        <f>G7+G13</f>
        <v>110</v>
      </c>
      <c r="I6" s="85"/>
      <c r="J6" s="69"/>
      <c r="K6" s="69"/>
      <c r="L6" s="117"/>
      <c r="M6" s="109">
        <f>M7+M13</f>
        <v>0</v>
      </c>
      <c r="N6" s="85"/>
      <c r="O6" s="585">
        <f>IF(O7+O13&gt;$F6,$F6,O7+O13)</f>
        <v>95</v>
      </c>
      <c r="P6" s="586"/>
      <c r="Q6" s="85"/>
      <c r="R6" s="585">
        <f>IF(R7+R13&gt;$F6,$F6,R7+R13)</f>
        <v>80</v>
      </c>
      <c r="S6" s="586"/>
      <c r="T6" s="85"/>
      <c r="U6" s="585">
        <f>IF(U7+U13&gt;$F6,$F6,U7+U13)</f>
        <v>80</v>
      </c>
      <c r="V6" s="586"/>
      <c r="W6" s="85"/>
      <c r="X6" s="585">
        <f>IF(X7+X13&gt;$F6,$F6,X7+X13)</f>
        <v>100</v>
      </c>
      <c r="Y6" s="586"/>
      <c r="Z6" s="85"/>
      <c r="AA6" s="585">
        <f>IF(AA7+AA13&gt;$F6,$F6,AA7+AA13)</f>
        <v>100</v>
      </c>
      <c r="AB6" s="586"/>
      <c r="AC6" s="85"/>
      <c r="AD6" s="585">
        <f>IF(AD7+AD13&gt;$F6,$F6,AD7+AD13)</f>
        <v>50</v>
      </c>
      <c r="AE6" s="586"/>
      <c r="AF6" s="115"/>
      <c r="AG6" s="115"/>
      <c r="AH6" s="85"/>
      <c r="AI6" s="85"/>
    </row>
    <row r="7" spans="2:35" ht="12.75" outlineLevel="1">
      <c r="B7" s="40" t="str">
        <f>B$6</f>
        <v>P</v>
      </c>
      <c r="C7" s="41">
        <v>1</v>
      </c>
      <c r="D7" s="42"/>
      <c r="E7" s="160" t="s">
        <v>61</v>
      </c>
      <c r="F7" s="100">
        <v>75</v>
      </c>
      <c r="G7" s="133">
        <f>IF(H7&gt;F7,F7,H7)</f>
        <v>75</v>
      </c>
      <c r="H7" s="131">
        <f>SUMIF(L8:L12,"j",G8:G12)</f>
        <v>75</v>
      </c>
      <c r="I7" s="86"/>
      <c r="J7" s="69"/>
      <c r="K7" s="69"/>
      <c r="L7" s="117"/>
      <c r="M7" s="105">
        <f>SUM(M8:M12)</f>
        <v>0</v>
      </c>
      <c r="N7" s="86"/>
      <c r="O7" s="559">
        <f>IF(SUM(P8:P12)&gt;$F7,$F7,SUM(P8:P12))</f>
        <v>60</v>
      </c>
      <c r="P7" s="557"/>
      <c r="Q7" s="86"/>
      <c r="R7" s="559">
        <f>IF(SUM(S8:S12)&gt;$F7,$F7,SUM(S8:S12))</f>
        <v>55</v>
      </c>
      <c r="S7" s="557"/>
      <c r="T7" s="86"/>
      <c r="U7" s="559">
        <f>IF(SUM(V8:V12)&gt;$F7,$F7,SUM(V8:V12))</f>
        <v>55</v>
      </c>
      <c r="V7" s="557"/>
      <c r="W7" s="86"/>
      <c r="X7" s="559">
        <f>IF(SUM(Y8:Y12)&gt;$F7,$F7,SUM(Y8:Y12))</f>
        <v>75</v>
      </c>
      <c r="Y7" s="557"/>
      <c r="Z7" s="86"/>
      <c r="AA7" s="559">
        <f>IF(SUM(AB8:AB12)&gt;$F7,$F7,SUM(AB8:AB12))</f>
        <v>75</v>
      </c>
      <c r="AB7" s="557"/>
      <c r="AC7" s="86"/>
      <c r="AD7" s="559">
        <f>IF(SUM(AE8:AE12)&gt;$F7,$F7,SUM(AE8:AE12))</f>
        <v>35</v>
      </c>
      <c r="AE7" s="557"/>
      <c r="AF7" s="91"/>
      <c r="AG7" s="91"/>
      <c r="AH7" s="86"/>
      <c r="AI7" s="86"/>
    </row>
    <row r="8" spans="2:35" ht="12.75" hidden="1" outlineLevel="2">
      <c r="B8" s="20" t="str">
        <f>B$6</f>
        <v>P</v>
      </c>
      <c r="C8" s="21">
        <f>C$7</f>
        <v>1</v>
      </c>
      <c r="D8" s="23">
        <v>1</v>
      </c>
      <c r="E8" s="13" t="s">
        <v>60</v>
      </c>
      <c r="F8" s="96"/>
      <c r="G8" s="592">
        <v>20</v>
      </c>
      <c r="H8" s="593"/>
      <c r="I8" s="97"/>
      <c r="J8" s="69">
        <v>3</v>
      </c>
      <c r="K8" s="69">
        <v>2</v>
      </c>
      <c r="L8" s="104" t="s">
        <v>68</v>
      </c>
      <c r="M8" s="108">
        <f>IF(AND($F8=M$4,$L8="j"),$G8,0)</f>
        <v>0</v>
      </c>
      <c r="N8" s="86"/>
      <c r="O8" s="112" t="s">
        <v>68</v>
      </c>
      <c r="P8" s="108">
        <f>IF(AND(O8="j",$L8="j"),$G8,"")</f>
        <v>20</v>
      </c>
      <c r="Q8" s="86"/>
      <c r="R8" s="112" t="s">
        <v>71</v>
      </c>
      <c r="S8" s="108">
        <f>IF(AND(R8="j",$L8="j"),$G8,"")</f>
      </c>
      <c r="T8" s="86"/>
      <c r="U8" s="112" t="s">
        <v>71</v>
      </c>
      <c r="V8" s="108">
        <f>IF(AND(U8="j",$L8="j"),$G8,"")</f>
      </c>
      <c r="W8" s="86"/>
      <c r="X8" s="112" t="s">
        <v>68</v>
      </c>
      <c r="Y8" s="108">
        <f>IF(AND(X8="j",$L8="j"),$G8,"")</f>
        <v>20</v>
      </c>
      <c r="Z8" s="86"/>
      <c r="AA8" s="112" t="s">
        <v>68</v>
      </c>
      <c r="AB8" s="108">
        <f>IF(AND(AA8="j",$L8="j"),$G8,"")</f>
        <v>20</v>
      </c>
      <c r="AC8" s="86"/>
      <c r="AD8" s="112" t="s">
        <v>71</v>
      </c>
      <c r="AE8" s="108">
        <f>IF(AND(AD8="j",$L8="j"),$G8,"")</f>
      </c>
      <c r="AF8" s="86"/>
      <c r="AG8" s="86"/>
      <c r="AH8" s="86"/>
      <c r="AI8" s="86"/>
    </row>
    <row r="9" spans="2:35" ht="12.75" hidden="1" outlineLevel="2">
      <c r="B9" s="20" t="str">
        <f>B$6</f>
        <v>P</v>
      </c>
      <c r="C9" s="21">
        <f>C$7</f>
        <v>1</v>
      </c>
      <c r="D9" s="23">
        <v>2</v>
      </c>
      <c r="E9" s="13" t="s">
        <v>86</v>
      </c>
      <c r="F9" s="96"/>
      <c r="G9" s="592">
        <v>15</v>
      </c>
      <c r="H9" s="593"/>
      <c r="I9" s="97"/>
      <c r="J9" s="69">
        <v>3</v>
      </c>
      <c r="K9" s="69"/>
      <c r="L9" s="104" t="s">
        <v>68</v>
      </c>
      <c r="M9" s="108">
        <f>IF(AND($F9=M$4,$L9="j"),$G9,0)</f>
        <v>0</v>
      </c>
      <c r="N9" s="86"/>
      <c r="O9" s="112" t="s">
        <v>71</v>
      </c>
      <c r="P9" s="108">
        <f>IF(AND(O9="j",$L9="j"),$G9,"")</f>
      </c>
      <c r="Q9" s="86"/>
      <c r="R9" s="112" t="s">
        <v>68</v>
      </c>
      <c r="S9" s="108">
        <f>IF(AND(R9="j",$L9="j"),$G9,"")</f>
        <v>15</v>
      </c>
      <c r="T9" s="86"/>
      <c r="U9" s="112" t="s">
        <v>68</v>
      </c>
      <c r="V9" s="108">
        <f>IF(AND(U9="j",$L9="j"),$G9,"")</f>
        <v>15</v>
      </c>
      <c r="W9" s="86"/>
      <c r="X9" s="112" t="s">
        <v>68</v>
      </c>
      <c r="Y9" s="108">
        <f>IF(AND(X9="j",$L9="j"),$G9,"")</f>
        <v>15</v>
      </c>
      <c r="Z9" s="86"/>
      <c r="AA9" s="112" t="s">
        <v>68</v>
      </c>
      <c r="AB9" s="108">
        <f>IF(AND(AA9="j",$L9="j"),$G9,"")</f>
        <v>15</v>
      </c>
      <c r="AC9" s="86"/>
      <c r="AD9" s="112" t="s">
        <v>68</v>
      </c>
      <c r="AE9" s="108">
        <f>IF(AND(AD9="j",$L9="j"),$G9,"")</f>
        <v>15</v>
      </c>
      <c r="AF9" s="86"/>
      <c r="AG9" s="86"/>
      <c r="AH9" s="86"/>
      <c r="AI9" s="86"/>
    </row>
    <row r="10" spans="2:35" ht="12.75" hidden="1" outlineLevel="2">
      <c r="B10" s="20" t="str">
        <f>B$6</f>
        <v>P</v>
      </c>
      <c r="C10" s="21">
        <f>C$7</f>
        <v>1</v>
      </c>
      <c r="D10" s="23">
        <f>D9+1</f>
        <v>3</v>
      </c>
      <c r="E10" s="13" t="s">
        <v>51</v>
      </c>
      <c r="F10" s="96"/>
      <c r="G10" s="592">
        <v>10</v>
      </c>
      <c r="H10" s="593"/>
      <c r="I10" s="97"/>
      <c r="J10" s="157">
        <v>0</v>
      </c>
      <c r="K10" s="69">
        <v>2</v>
      </c>
      <c r="L10" s="104" t="s">
        <v>68</v>
      </c>
      <c r="M10" s="108">
        <f>IF(AND($F10=M$4,$L10="j"),$G10,0)</f>
        <v>0</v>
      </c>
      <c r="N10" s="86"/>
      <c r="O10" s="112" t="s">
        <v>68</v>
      </c>
      <c r="P10" s="108">
        <f>IF(AND(O10="j",$L10="j"),$G10,"")</f>
        <v>10</v>
      </c>
      <c r="Q10" s="86"/>
      <c r="R10" s="112" t="s">
        <v>68</v>
      </c>
      <c r="S10" s="108">
        <f>IF(AND(R10="j",$L10="j"),$G10,"")</f>
        <v>10</v>
      </c>
      <c r="T10" s="86"/>
      <c r="U10" s="112" t="s">
        <v>68</v>
      </c>
      <c r="V10" s="108">
        <f>IF(AND(U10="j",$L10="j"),$G10,"")</f>
        <v>10</v>
      </c>
      <c r="W10" s="86"/>
      <c r="X10" s="112" t="s">
        <v>68</v>
      </c>
      <c r="Y10" s="108">
        <f>IF(AND(X10="j",$L10="j"),$G10,"")</f>
        <v>10</v>
      </c>
      <c r="Z10" s="86"/>
      <c r="AA10" s="112" t="s">
        <v>68</v>
      </c>
      <c r="AB10" s="108">
        <f>IF(AND(AA10="j",$L10="j"),$G10,"")</f>
        <v>10</v>
      </c>
      <c r="AC10" s="86"/>
      <c r="AD10" s="112" t="s">
        <v>68</v>
      </c>
      <c r="AE10" s="108">
        <f>IF(AND(AD10="j",$L10="j"),$G10,"")</f>
        <v>10</v>
      </c>
      <c r="AF10" s="86"/>
      <c r="AG10" s="86"/>
      <c r="AH10" s="86"/>
      <c r="AI10" s="86"/>
    </row>
    <row r="11" spans="2:35" ht="12.75" hidden="1" outlineLevel="2">
      <c r="B11" s="20" t="s">
        <v>6</v>
      </c>
      <c r="C11" s="21" t="s">
        <v>55</v>
      </c>
      <c r="D11" s="23">
        <f>D10+1</f>
        <v>4</v>
      </c>
      <c r="E11" s="13" t="s">
        <v>87</v>
      </c>
      <c r="F11" s="96"/>
      <c r="G11" s="592">
        <v>20</v>
      </c>
      <c r="H11" s="593"/>
      <c r="I11" s="97"/>
      <c r="J11" s="69">
        <v>3</v>
      </c>
      <c r="K11" s="69">
        <v>3</v>
      </c>
      <c r="L11" s="104" t="s">
        <v>68</v>
      </c>
      <c r="M11" s="108">
        <f>IF(AND($F11=M$4,$L11="j"),$G11,0)</f>
        <v>0</v>
      </c>
      <c r="N11" s="86"/>
      <c r="O11" s="112" t="s">
        <v>68</v>
      </c>
      <c r="P11" s="108">
        <f>IF(AND(O11="j",$L11="j"),$G11,"")</f>
        <v>20</v>
      </c>
      <c r="Q11" s="86"/>
      <c r="R11" s="112" t="s">
        <v>68</v>
      </c>
      <c r="S11" s="108">
        <f>IF(AND(R11="j",$L11="j"),$G11,"")</f>
        <v>20</v>
      </c>
      <c r="T11" s="86"/>
      <c r="U11" s="112" t="s">
        <v>68</v>
      </c>
      <c r="V11" s="108">
        <f>IF(AND(U11="j",$L11="j"),$G11,"")</f>
        <v>20</v>
      </c>
      <c r="W11" s="86"/>
      <c r="X11" s="112" t="s">
        <v>68</v>
      </c>
      <c r="Y11" s="108">
        <f>IF(AND(X11="j",$L11="j"),$G11,"")</f>
        <v>20</v>
      </c>
      <c r="Z11" s="86"/>
      <c r="AA11" s="112" t="s">
        <v>68</v>
      </c>
      <c r="AB11" s="108">
        <f>IF(AND(AA11="j",$L11="j"),$G11,"")</f>
        <v>20</v>
      </c>
      <c r="AC11" s="86"/>
      <c r="AD11" s="112" t="s">
        <v>71</v>
      </c>
      <c r="AE11" s="108">
        <f>IF(AND(AD11="j",$L11="j"),$G11,"")</f>
      </c>
      <c r="AF11" s="86"/>
      <c r="AG11" s="86"/>
      <c r="AH11" s="86"/>
      <c r="AI11" s="86"/>
    </row>
    <row r="12" spans="2:35" ht="22.5" customHeight="1" hidden="1" outlineLevel="2">
      <c r="B12" s="20" t="str">
        <f>B$6</f>
        <v>P</v>
      </c>
      <c r="C12" s="21">
        <f>C$7</f>
        <v>1</v>
      </c>
      <c r="D12" s="23">
        <f>D11+1</f>
        <v>5</v>
      </c>
      <c r="E12" s="13" t="s">
        <v>59</v>
      </c>
      <c r="F12" s="96"/>
      <c r="G12" s="592">
        <v>10</v>
      </c>
      <c r="H12" s="593"/>
      <c r="I12" s="97"/>
      <c r="J12" s="69">
        <v>3</v>
      </c>
      <c r="K12" s="69">
        <v>3</v>
      </c>
      <c r="L12" s="104" t="s">
        <v>68</v>
      </c>
      <c r="M12" s="108">
        <f>IF(AND($F12=M$4,$L12="j"),$G12,0)</f>
        <v>0</v>
      </c>
      <c r="N12" s="86"/>
      <c r="O12" s="112" t="s">
        <v>68</v>
      </c>
      <c r="P12" s="108">
        <f>IF(AND(O12="j",$L12="j"),$G12,"")</f>
        <v>10</v>
      </c>
      <c r="Q12" s="86"/>
      <c r="R12" s="112" t="s">
        <v>68</v>
      </c>
      <c r="S12" s="108">
        <f>IF(AND(R12="j",$L12="j"),$G12,"")</f>
        <v>10</v>
      </c>
      <c r="T12" s="86"/>
      <c r="U12" s="112" t="s">
        <v>68</v>
      </c>
      <c r="V12" s="108">
        <f>IF(AND(U12="j",$L12="j"),$G12,"")</f>
        <v>10</v>
      </c>
      <c r="W12" s="86"/>
      <c r="X12" s="112" t="s">
        <v>68</v>
      </c>
      <c r="Y12" s="108">
        <f>IF(AND(X12="j",$L12="j"),$G12,"")</f>
        <v>10</v>
      </c>
      <c r="Z12" s="86"/>
      <c r="AA12" s="112" t="s">
        <v>68</v>
      </c>
      <c r="AB12" s="108">
        <f>IF(AND(AA12="j",$L12="j"),$G12,"")</f>
        <v>10</v>
      </c>
      <c r="AC12" s="86"/>
      <c r="AD12" s="112" t="s">
        <v>68</v>
      </c>
      <c r="AE12" s="108">
        <f>IF(AND(AD12="j",$L12="j"),$G12,"")</f>
        <v>10</v>
      </c>
      <c r="AF12" s="86"/>
      <c r="AG12" s="86"/>
      <c r="AH12" s="86"/>
      <c r="AI12" s="86"/>
    </row>
    <row r="13" spans="2:35" ht="12.75" outlineLevel="1" collapsed="1">
      <c r="B13" s="32" t="str">
        <f>B$6</f>
        <v>P</v>
      </c>
      <c r="C13" s="33">
        <v>2</v>
      </c>
      <c r="D13" s="22"/>
      <c r="E13" s="161" t="s">
        <v>7</v>
      </c>
      <c r="F13" s="101">
        <v>35</v>
      </c>
      <c r="G13" s="135">
        <f>IF(H13&gt;F13,F13,H13)</f>
        <v>35</v>
      </c>
      <c r="H13" s="134">
        <f>SUMIF(L14:L16,"j",G14:G16)</f>
        <v>35</v>
      </c>
      <c r="I13" s="86"/>
      <c r="J13" s="69"/>
      <c r="K13" s="69"/>
      <c r="L13" s="117"/>
      <c r="M13" s="102">
        <f>SUM(M14:M16)</f>
        <v>0</v>
      </c>
      <c r="N13" s="86"/>
      <c r="O13" s="559">
        <f>IF(SUM(P14:P16)&gt;$F13,$F13,SUM(P14:P16))</f>
        <v>35</v>
      </c>
      <c r="P13" s="557"/>
      <c r="Q13" s="86"/>
      <c r="R13" s="559">
        <f>IF(SUM(S14:S16)&gt;$F13,$F13,SUM(S14:S16))</f>
        <v>25</v>
      </c>
      <c r="S13" s="557"/>
      <c r="T13" s="86"/>
      <c r="U13" s="559">
        <f>IF(SUM(V14:V16)&gt;$F13,$F13,SUM(V14:V16))</f>
        <v>25</v>
      </c>
      <c r="V13" s="557"/>
      <c r="W13" s="86"/>
      <c r="X13" s="559">
        <f>IF(SUM(Y14:Y16)&gt;$F13,$F13,SUM(Y14:Y16))</f>
        <v>35</v>
      </c>
      <c r="Y13" s="557"/>
      <c r="Z13" s="86"/>
      <c r="AA13" s="559">
        <f>IF(SUM(AB14:AB16)&gt;$F13,$F13,SUM(AB14:AB16))</f>
        <v>35</v>
      </c>
      <c r="AB13" s="557"/>
      <c r="AC13" s="86"/>
      <c r="AD13" s="559">
        <f>IF(SUM(AE14:AE16)&gt;$F13,$F13,SUM(AE14:AE16))</f>
        <v>15</v>
      </c>
      <c r="AE13" s="557"/>
      <c r="AF13" s="91"/>
      <c r="AG13" s="91"/>
      <c r="AH13" s="86"/>
      <c r="AI13" s="86"/>
    </row>
    <row r="14" spans="2:35" ht="12.75" outlineLevel="2">
      <c r="B14" s="20" t="str">
        <f>B$6</f>
        <v>P</v>
      </c>
      <c r="C14" s="21">
        <f>C$13</f>
        <v>2</v>
      </c>
      <c r="D14" s="23">
        <v>1</v>
      </c>
      <c r="E14" s="13" t="s">
        <v>88</v>
      </c>
      <c r="F14" s="96"/>
      <c r="G14" s="592">
        <v>20</v>
      </c>
      <c r="H14" s="593"/>
      <c r="I14" s="97"/>
      <c r="J14" s="69">
        <v>3</v>
      </c>
      <c r="K14" s="69">
        <v>3</v>
      </c>
      <c r="L14" s="104" t="s">
        <v>68</v>
      </c>
      <c r="M14" s="108">
        <f>IF(AND($F14=M$4,$L14="j"),$G14,0)</f>
        <v>0</v>
      </c>
      <c r="N14" s="86"/>
      <c r="O14" s="112" t="s">
        <v>68</v>
      </c>
      <c r="P14" s="108">
        <f>IF(AND(O14="j",$L14="j"),$G14,"")</f>
        <v>20</v>
      </c>
      <c r="Q14" s="86"/>
      <c r="R14" s="112" t="s">
        <v>68</v>
      </c>
      <c r="S14" s="108">
        <f>IF(AND(R14="j",$L14="j"),$G14,"")</f>
        <v>20</v>
      </c>
      <c r="T14" s="86"/>
      <c r="U14" s="112" t="s">
        <v>68</v>
      </c>
      <c r="V14" s="108">
        <f>IF(AND(U14="j",$L14="j"),$G14,"")</f>
        <v>20</v>
      </c>
      <c r="W14" s="86"/>
      <c r="X14" s="112" t="s">
        <v>68</v>
      </c>
      <c r="Y14" s="108">
        <f>IF(AND(X14="j",$L14="j"),$G14,"")</f>
        <v>20</v>
      </c>
      <c r="Z14" s="86"/>
      <c r="AA14" s="112" t="s">
        <v>68</v>
      </c>
      <c r="AB14" s="108">
        <f>IF(AND(AA14="j",$L14="j"),$G14,"")</f>
        <v>20</v>
      </c>
      <c r="AC14" s="86"/>
      <c r="AD14" s="112" t="s">
        <v>71</v>
      </c>
      <c r="AE14" s="108">
        <f>IF(AND(AD14="j",$L14="j"),$G14,"")</f>
      </c>
      <c r="AF14" s="86"/>
      <c r="AG14" s="86"/>
      <c r="AH14" s="86"/>
      <c r="AI14" s="86"/>
    </row>
    <row r="15" spans="2:35" ht="12.75" outlineLevel="2">
      <c r="B15" s="20" t="str">
        <f>B$6</f>
        <v>P</v>
      </c>
      <c r="C15" s="21" t="s">
        <v>63</v>
      </c>
      <c r="D15" s="23">
        <v>3</v>
      </c>
      <c r="E15" s="13" t="s">
        <v>50</v>
      </c>
      <c r="F15" s="96"/>
      <c r="G15" s="592">
        <v>5</v>
      </c>
      <c r="H15" s="593"/>
      <c r="I15" s="97"/>
      <c r="J15" s="157">
        <v>2</v>
      </c>
      <c r="K15" s="69">
        <v>2</v>
      </c>
      <c r="L15" s="104" t="s">
        <v>68</v>
      </c>
      <c r="M15" s="108">
        <f>IF(AND($F15=M$4,$L15="j"),$G15,0)</f>
        <v>0</v>
      </c>
      <c r="N15" s="86"/>
      <c r="O15" s="112" t="s">
        <v>68</v>
      </c>
      <c r="P15" s="108">
        <f>IF(AND(O15="j",$L15="j"),$G15,"")</f>
        <v>5</v>
      </c>
      <c r="Q15" s="86"/>
      <c r="R15" s="112" t="s">
        <v>68</v>
      </c>
      <c r="S15" s="108">
        <f>IF(AND(R15="j",$L15="j"),$G15,"")</f>
        <v>5</v>
      </c>
      <c r="T15" s="86"/>
      <c r="U15" s="112" t="s">
        <v>68</v>
      </c>
      <c r="V15" s="108">
        <f>IF(AND(U15="j",$L15="j"),$G15,"")</f>
        <v>5</v>
      </c>
      <c r="W15" s="86"/>
      <c r="X15" s="112" t="s">
        <v>68</v>
      </c>
      <c r="Y15" s="108">
        <f>IF(AND(X15="j",$L15="j"),$G15,"")</f>
        <v>5</v>
      </c>
      <c r="Z15" s="86"/>
      <c r="AA15" s="112" t="s">
        <v>68</v>
      </c>
      <c r="AB15" s="108">
        <f>IF(AND(AA15="j",$L15="j"),$G15,"")</f>
        <v>5</v>
      </c>
      <c r="AC15" s="86"/>
      <c r="AD15" s="112" t="s">
        <v>68</v>
      </c>
      <c r="AE15" s="108">
        <f>IF(AND(AD15="j",$L15="j"),$G15,"")</f>
        <v>5</v>
      </c>
      <c r="AF15" s="86"/>
      <c r="AG15" s="86"/>
      <c r="AH15" s="86"/>
      <c r="AI15" s="86"/>
    </row>
    <row r="16" spans="2:35" ht="13.5" outlineLevel="2" thickBot="1">
      <c r="B16" s="24" t="str">
        <f>B$6</f>
        <v>P</v>
      </c>
      <c r="C16" s="25">
        <f>C$13</f>
        <v>2</v>
      </c>
      <c r="D16" s="26">
        <v>4</v>
      </c>
      <c r="E16" s="14" t="s">
        <v>8</v>
      </c>
      <c r="F16" s="98"/>
      <c r="G16" s="594">
        <v>10</v>
      </c>
      <c r="H16" s="595"/>
      <c r="I16" s="97"/>
      <c r="J16" s="157">
        <v>0</v>
      </c>
      <c r="K16" s="69">
        <v>2</v>
      </c>
      <c r="L16" s="104" t="s">
        <v>68</v>
      </c>
      <c r="M16" s="108">
        <f>IF(AND($F16=M$4,$L16="j"),$G16,0)</f>
        <v>0</v>
      </c>
      <c r="N16" s="86"/>
      <c r="O16" s="112" t="s">
        <v>68</v>
      </c>
      <c r="P16" s="108">
        <f>IF(AND(O16="j",$L16="j"),$G16,"")</f>
        <v>10</v>
      </c>
      <c r="Q16" s="86"/>
      <c r="R16" s="112" t="s">
        <v>71</v>
      </c>
      <c r="S16" s="108">
        <f>IF(AND(R16="j",$L16="j"),$G16,"")</f>
      </c>
      <c r="T16" s="86"/>
      <c r="U16" s="112" t="s">
        <v>71</v>
      </c>
      <c r="V16" s="108">
        <f>IF(AND(U16="j",$L16="j"),$G16,"")</f>
      </c>
      <c r="W16" s="86"/>
      <c r="X16" s="112" t="s">
        <v>68</v>
      </c>
      <c r="Y16" s="108">
        <f>IF(AND(X16="j",$L16="j"),$G16,"")</f>
        <v>10</v>
      </c>
      <c r="Z16" s="86"/>
      <c r="AA16" s="112" t="s">
        <v>68</v>
      </c>
      <c r="AB16" s="108">
        <f>IF(AND(AA16="j",$L16="j"),$G16,"")</f>
        <v>10</v>
      </c>
      <c r="AC16" s="86"/>
      <c r="AD16" s="112" t="s">
        <v>68</v>
      </c>
      <c r="AE16" s="108">
        <f>IF(AND(AD16="j",$L16="j"),$G16,"")</f>
        <v>10</v>
      </c>
      <c r="AF16" s="86"/>
      <c r="AG16" s="86"/>
      <c r="AH16" s="86"/>
      <c r="AI16" s="86"/>
    </row>
    <row r="17" spans="4:35" ht="4.5" customHeight="1" thickBot="1">
      <c r="D17" s="10"/>
      <c r="E17" s="2"/>
      <c r="F17" s="1"/>
      <c r="G17" s="1"/>
      <c r="H17" s="1"/>
      <c r="I17" s="86"/>
      <c r="J17" s="72"/>
      <c r="K17" s="72"/>
      <c r="L17" s="118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2:35" s="123" customFormat="1" ht="15.75">
      <c r="B18" s="120" t="s">
        <v>23</v>
      </c>
      <c r="C18" s="121"/>
      <c r="D18" s="50"/>
      <c r="E18" s="51" t="s">
        <v>30</v>
      </c>
      <c r="F18" s="79">
        <v>550</v>
      </c>
      <c r="G18" s="137">
        <f>IF(H18&gt;F18,F18,H18)</f>
        <v>550</v>
      </c>
      <c r="H18" s="136">
        <f>G19+G33+G38</f>
        <v>595</v>
      </c>
      <c r="I18" s="89"/>
      <c r="J18" s="122"/>
      <c r="K18" s="122"/>
      <c r="L18" s="117"/>
      <c r="M18" s="110">
        <f>M19+M33+M38</f>
        <v>170</v>
      </c>
      <c r="N18" s="89"/>
      <c r="O18" s="585">
        <f>IF(O19+O33+O38&gt;$F18,$F18,O19+O33+O38)</f>
        <v>345</v>
      </c>
      <c r="P18" s="586"/>
      <c r="Q18" s="89"/>
      <c r="R18" s="585">
        <f>IF(R19+R33+R38&gt;$F18,$F18,R19+R33+R38)</f>
        <v>445</v>
      </c>
      <c r="S18" s="586"/>
      <c r="T18" s="89"/>
      <c r="U18" s="585">
        <f>IF(U19+U33+U38&gt;$F18,$F18,U19+U33+U38)</f>
        <v>540</v>
      </c>
      <c r="V18" s="586"/>
      <c r="W18" s="89"/>
      <c r="X18" s="585">
        <f>IF(X19+X33+X38&gt;$F18,$F18,X19+X33+X38)</f>
        <v>350</v>
      </c>
      <c r="Y18" s="586"/>
      <c r="Z18" s="89"/>
      <c r="AA18" s="585">
        <f>IF(AA19+AA33+AA38&gt;$F18,$F18,AA19+AA33+AA38)</f>
        <v>385</v>
      </c>
      <c r="AB18" s="586"/>
      <c r="AC18" s="89"/>
      <c r="AD18" s="585">
        <f>IF(AD19+AD33+AD38&gt;$F18,$F18,AD19+AD33+AD38)</f>
        <v>465</v>
      </c>
      <c r="AE18" s="586"/>
      <c r="AF18" s="115"/>
      <c r="AG18" s="115"/>
      <c r="AH18" s="89"/>
      <c r="AI18" s="89"/>
    </row>
    <row r="19" spans="2:35" ht="12.75" outlineLevel="1">
      <c r="B19" s="47" t="str">
        <f aca="true" t="shared" si="0" ref="B19:B27">B$18</f>
        <v>E</v>
      </c>
      <c r="C19" s="48">
        <v>1</v>
      </c>
      <c r="D19" s="49"/>
      <c r="E19" s="159" t="s">
        <v>110</v>
      </c>
      <c r="F19" s="78">
        <v>500</v>
      </c>
      <c r="G19" s="139">
        <f>IF(H19&gt;F19,F19,H19)</f>
        <v>500</v>
      </c>
      <c r="H19" s="138">
        <f>SUMIF(L20:L22,"j",G20:H22)+MAX(G23:G26)+SUMIF(L27:L32,"j",G27:H32)</f>
        <v>575</v>
      </c>
      <c r="I19" s="86"/>
      <c r="J19" s="69"/>
      <c r="K19" s="69"/>
      <c r="L19" s="117"/>
      <c r="M19" s="105">
        <f>SUM(M20:M22)+MAX(M23:M26)+SUM(M27:M32)</f>
        <v>160</v>
      </c>
      <c r="N19" s="86"/>
      <c r="O19" s="559">
        <f>IF(SUM(P20:P22)+MAX(P23:P26)+SUM(P27:P32)&gt;$F19,$F19,SUM(P20:P22)+MAX(P23:P26)+SUM(P27:P32))</f>
        <v>275</v>
      </c>
      <c r="P19" s="557"/>
      <c r="Q19" s="86"/>
      <c r="R19" s="559">
        <f>IF(SUM(S20:S22)+MAX(S23:S26)+SUM(S27:S32)&gt;$F19,$F19,SUM(S20:S22)+MAX(S23:S26)+SUM(S27:S32))</f>
        <v>405</v>
      </c>
      <c r="S19" s="557"/>
      <c r="T19" s="86"/>
      <c r="U19" s="559">
        <f>IF(SUM(V20:V22)+MAX(V23:V26)+SUM(V27:V32)&gt;$F19,$F19,SUM(V20:V22)+MAX(V23:V26)+SUM(V27:V32))</f>
        <v>495</v>
      </c>
      <c r="V19" s="557"/>
      <c r="W19" s="86"/>
      <c r="X19" s="559">
        <f>IF(SUM(Y20:Y22)+MAX(Y23:Y26)+SUM(Y27:Y32)&gt;$F19,$F19,SUM(Y20:Y22)+MAX(Y23:Y26)+SUM(Y27:Y32))</f>
        <v>310</v>
      </c>
      <c r="Y19" s="557"/>
      <c r="Z19" s="86"/>
      <c r="AA19" s="559">
        <f>IF(SUM(AB20:AB22)+MAX(AB23:AB26)+SUM(AB27:AB32)&gt;$F19,$F19,SUM(AB20:AB22)+MAX(AB23:AB26)+SUM(AB27:AB32))</f>
        <v>340</v>
      </c>
      <c r="AB19" s="557"/>
      <c r="AC19" s="86"/>
      <c r="AD19" s="559">
        <f>IF(SUM(AE20:AE22)+MAX(AE23:AE26)+SUM(AE27:AE32)&gt;$F19,$F19,SUM(AE20:AE22)+MAX(AE23:AE26)+SUM(AE27:AE32))</f>
        <v>415</v>
      </c>
      <c r="AE19" s="557"/>
      <c r="AF19" s="91"/>
      <c r="AG19" s="91"/>
      <c r="AH19" s="86"/>
      <c r="AI19" s="86"/>
    </row>
    <row r="20" spans="2:35" ht="25.5" outlineLevel="2">
      <c r="B20" s="20" t="str">
        <f t="shared" si="0"/>
        <v>E</v>
      </c>
      <c r="C20" s="21">
        <f aca="true" t="shared" si="1" ref="C20:C27">C$19</f>
        <v>1</v>
      </c>
      <c r="D20" s="23">
        <v>1</v>
      </c>
      <c r="E20" s="13" t="s">
        <v>89</v>
      </c>
      <c r="F20" s="16"/>
      <c r="G20" s="590">
        <v>300</v>
      </c>
      <c r="H20" s="591"/>
      <c r="I20" s="86"/>
      <c r="J20" s="69">
        <v>3</v>
      </c>
      <c r="K20" s="69">
        <v>3</v>
      </c>
      <c r="L20" s="104" t="s">
        <v>68</v>
      </c>
      <c r="M20" s="124">
        <v>150</v>
      </c>
      <c r="N20" s="86"/>
      <c r="O20" s="112" t="s">
        <v>68</v>
      </c>
      <c r="P20" s="112">
        <v>150</v>
      </c>
      <c r="Q20" s="86"/>
      <c r="R20" s="112" t="s">
        <v>68</v>
      </c>
      <c r="S20" s="112">
        <f aca="true" t="shared" si="2" ref="S20:S32">IF(AND(R20="j",$L20="j"),$G20,"")</f>
        <v>300</v>
      </c>
      <c r="T20" s="86"/>
      <c r="U20" s="112" t="s">
        <v>68</v>
      </c>
      <c r="V20" s="112">
        <f aca="true" t="shared" si="3" ref="V20:V32">IF(AND(U20="j",$L20="j"),$G20,"")</f>
        <v>300</v>
      </c>
      <c r="W20" s="86"/>
      <c r="X20" s="112" t="s">
        <v>68</v>
      </c>
      <c r="Y20" s="112">
        <v>150</v>
      </c>
      <c r="Z20" s="86"/>
      <c r="AA20" s="112" t="s">
        <v>68</v>
      </c>
      <c r="AB20" s="112">
        <v>150</v>
      </c>
      <c r="AC20" s="86"/>
      <c r="AD20" s="112" t="s">
        <v>68</v>
      </c>
      <c r="AE20" s="112">
        <v>180</v>
      </c>
      <c r="AF20" s="97"/>
      <c r="AG20" s="97"/>
      <c r="AH20" s="86"/>
      <c r="AI20" s="86"/>
    </row>
    <row r="21" spans="2:35" ht="12.75" outlineLevel="2">
      <c r="B21" s="20" t="str">
        <f t="shared" si="0"/>
        <v>E</v>
      </c>
      <c r="C21" s="21">
        <f t="shared" si="1"/>
        <v>1</v>
      </c>
      <c r="D21" s="23">
        <f>D20+1</f>
        <v>2</v>
      </c>
      <c r="E21" s="13" t="s">
        <v>24</v>
      </c>
      <c r="F21" s="12" t="s">
        <v>9</v>
      </c>
      <c r="G21" s="590">
        <v>0</v>
      </c>
      <c r="H21" s="591"/>
      <c r="I21" s="86"/>
      <c r="J21" s="69">
        <v>3</v>
      </c>
      <c r="K21" s="69">
        <v>3</v>
      </c>
      <c r="L21" s="104" t="s">
        <v>68</v>
      </c>
      <c r="M21" s="108">
        <f aca="true" t="shared" si="4" ref="M21:M32">IF(AND($F21=M$4,$L21="j"),$G21,0)</f>
        <v>0</v>
      </c>
      <c r="N21" s="86"/>
      <c r="O21" s="112" t="s">
        <v>68</v>
      </c>
      <c r="P21" s="108">
        <f aca="true" t="shared" si="5" ref="P21:P32">IF(AND(O21="j",$L21="j"),$G21,"")</f>
        <v>0</v>
      </c>
      <c r="Q21" s="86"/>
      <c r="R21" s="112" t="s">
        <v>68</v>
      </c>
      <c r="S21" s="108">
        <f t="shared" si="2"/>
        <v>0</v>
      </c>
      <c r="T21" s="86"/>
      <c r="U21" s="112" t="s">
        <v>68</v>
      </c>
      <c r="V21" s="108">
        <f t="shared" si="3"/>
        <v>0</v>
      </c>
      <c r="W21" s="86"/>
      <c r="X21" s="112" t="s">
        <v>68</v>
      </c>
      <c r="Y21" s="108">
        <f aca="true" t="shared" si="6" ref="Y21:Y32">IF(AND(X21="j",$L21="j"),$G21,"")</f>
        <v>0</v>
      </c>
      <c r="Z21" s="86"/>
      <c r="AA21" s="112" t="s">
        <v>68</v>
      </c>
      <c r="AB21" s="108">
        <f aca="true" t="shared" si="7" ref="AB21:AB32">IF(AND(AA21="j",$L21="j"),$G21,"")</f>
        <v>0</v>
      </c>
      <c r="AC21" s="86"/>
      <c r="AD21" s="112" t="s">
        <v>68</v>
      </c>
      <c r="AE21" s="108">
        <f aca="true" t="shared" si="8" ref="AE21:AE32">IF(AND(AD21="j",$L21="j"),$G21,"")</f>
        <v>0</v>
      </c>
      <c r="AF21" s="86"/>
      <c r="AG21" s="86"/>
      <c r="AH21" s="86"/>
      <c r="AI21" s="86"/>
    </row>
    <row r="22" spans="2:35" ht="12.75" outlineLevel="2">
      <c r="B22" s="20" t="str">
        <f t="shared" si="0"/>
        <v>E</v>
      </c>
      <c r="C22" s="21">
        <f t="shared" si="1"/>
        <v>1</v>
      </c>
      <c r="D22" s="23">
        <f>D21+1</f>
        <v>3</v>
      </c>
      <c r="E22" s="13" t="s">
        <v>10</v>
      </c>
      <c r="F22" s="16" t="s">
        <v>9</v>
      </c>
      <c r="G22" s="590">
        <v>0</v>
      </c>
      <c r="H22" s="591"/>
      <c r="I22" s="86"/>
      <c r="J22" s="69">
        <v>3</v>
      </c>
      <c r="K22" s="69">
        <v>3</v>
      </c>
      <c r="L22" s="104" t="s">
        <v>68</v>
      </c>
      <c r="M22" s="108">
        <f t="shared" si="4"/>
        <v>0</v>
      </c>
      <c r="N22" s="86"/>
      <c r="O22" s="112" t="s">
        <v>68</v>
      </c>
      <c r="P22" s="108">
        <f t="shared" si="5"/>
        <v>0</v>
      </c>
      <c r="Q22" s="86"/>
      <c r="R22" s="112" t="s">
        <v>68</v>
      </c>
      <c r="S22" s="108">
        <f t="shared" si="2"/>
        <v>0</v>
      </c>
      <c r="T22" s="86"/>
      <c r="U22" s="112" t="s">
        <v>68</v>
      </c>
      <c r="V22" s="108">
        <f t="shared" si="3"/>
        <v>0</v>
      </c>
      <c r="W22" s="86"/>
      <c r="X22" s="112" t="s">
        <v>68</v>
      </c>
      <c r="Y22" s="108">
        <f t="shared" si="6"/>
        <v>0</v>
      </c>
      <c r="Z22" s="86"/>
      <c r="AA22" s="112" t="s">
        <v>68</v>
      </c>
      <c r="AB22" s="108">
        <f t="shared" si="7"/>
        <v>0</v>
      </c>
      <c r="AC22" s="86"/>
      <c r="AD22" s="112" t="s">
        <v>68</v>
      </c>
      <c r="AE22" s="108">
        <f t="shared" si="8"/>
        <v>0</v>
      </c>
      <c r="AF22" s="86"/>
      <c r="AG22" s="86"/>
      <c r="AH22" s="86"/>
      <c r="AI22" s="86"/>
    </row>
    <row r="23" spans="2:35" ht="12.75" outlineLevel="2">
      <c r="B23" s="20" t="str">
        <f t="shared" si="0"/>
        <v>E</v>
      </c>
      <c r="C23" s="21">
        <f t="shared" si="1"/>
        <v>1</v>
      </c>
      <c r="D23" s="23" t="s">
        <v>43</v>
      </c>
      <c r="E23" s="13" t="s">
        <v>11</v>
      </c>
      <c r="F23" s="616" t="s">
        <v>14</v>
      </c>
      <c r="G23" s="590">
        <v>0</v>
      </c>
      <c r="H23" s="591"/>
      <c r="I23" s="86"/>
      <c r="J23" s="69">
        <v>3</v>
      </c>
      <c r="K23" s="69">
        <v>3</v>
      </c>
      <c r="L23" s="104" t="s">
        <v>68</v>
      </c>
      <c r="M23" s="108">
        <f t="shared" si="4"/>
        <v>0</v>
      </c>
      <c r="N23" s="86"/>
      <c r="O23" s="112" t="s">
        <v>68</v>
      </c>
      <c r="P23" s="108">
        <f t="shared" si="5"/>
        <v>0</v>
      </c>
      <c r="Q23" s="86"/>
      <c r="R23" s="112" t="s">
        <v>71</v>
      </c>
      <c r="S23" s="108">
        <f t="shared" si="2"/>
      </c>
      <c r="T23" s="86"/>
      <c r="U23" s="112" t="s">
        <v>71</v>
      </c>
      <c r="V23" s="108">
        <f t="shared" si="3"/>
      </c>
      <c r="W23" s="86"/>
      <c r="X23" s="112" t="s">
        <v>71</v>
      </c>
      <c r="Y23" s="108">
        <f t="shared" si="6"/>
      </c>
      <c r="Z23" s="86"/>
      <c r="AA23" s="112" t="s">
        <v>71</v>
      </c>
      <c r="AB23" s="108">
        <f t="shared" si="7"/>
      </c>
      <c r="AC23" s="86"/>
      <c r="AD23" s="112" t="s">
        <v>71</v>
      </c>
      <c r="AE23" s="108">
        <f t="shared" si="8"/>
      </c>
      <c r="AF23" s="86"/>
      <c r="AG23" s="86"/>
      <c r="AH23" s="86"/>
      <c r="AI23" s="86"/>
    </row>
    <row r="24" spans="2:35" ht="12.75" outlineLevel="2">
      <c r="B24" s="20" t="str">
        <f t="shared" si="0"/>
        <v>E</v>
      </c>
      <c r="C24" s="21">
        <f t="shared" si="1"/>
        <v>1</v>
      </c>
      <c r="D24" s="23" t="s">
        <v>44</v>
      </c>
      <c r="E24" s="13" t="s">
        <v>90</v>
      </c>
      <c r="F24" s="616"/>
      <c r="G24" s="590">
        <v>70</v>
      </c>
      <c r="H24" s="591"/>
      <c r="I24" s="86"/>
      <c r="J24" s="69">
        <v>3</v>
      </c>
      <c r="K24" s="69">
        <v>3</v>
      </c>
      <c r="L24" s="104" t="s">
        <v>68</v>
      </c>
      <c r="M24" s="108">
        <f t="shared" si="4"/>
        <v>0</v>
      </c>
      <c r="N24" s="86"/>
      <c r="O24" s="112" t="s">
        <v>71</v>
      </c>
      <c r="P24" s="108">
        <f t="shared" si="5"/>
      </c>
      <c r="Q24" s="86"/>
      <c r="R24" s="112" t="s">
        <v>68</v>
      </c>
      <c r="S24" s="108">
        <f t="shared" si="2"/>
        <v>70</v>
      </c>
      <c r="T24" s="86"/>
      <c r="U24" s="112" t="s">
        <v>68</v>
      </c>
      <c r="V24" s="108">
        <f t="shared" si="3"/>
        <v>70</v>
      </c>
      <c r="W24" s="86"/>
      <c r="X24" s="112" t="s">
        <v>71</v>
      </c>
      <c r="Y24" s="108">
        <f t="shared" si="6"/>
      </c>
      <c r="Z24" s="86"/>
      <c r="AA24" s="112" t="s">
        <v>71</v>
      </c>
      <c r="AB24" s="108">
        <f t="shared" si="7"/>
      </c>
      <c r="AC24" s="86"/>
      <c r="AD24" s="112" t="s">
        <v>71</v>
      </c>
      <c r="AE24" s="108">
        <f t="shared" si="8"/>
      </c>
      <c r="AF24" s="86"/>
      <c r="AG24" s="86"/>
      <c r="AH24" s="86"/>
      <c r="AI24" s="86"/>
    </row>
    <row r="25" spans="2:35" ht="12.75" outlineLevel="2">
      <c r="B25" s="20" t="str">
        <f t="shared" si="0"/>
        <v>E</v>
      </c>
      <c r="C25" s="21">
        <f t="shared" si="1"/>
        <v>1</v>
      </c>
      <c r="D25" s="23" t="s">
        <v>45</v>
      </c>
      <c r="E25" s="13" t="s">
        <v>91</v>
      </c>
      <c r="F25" s="616"/>
      <c r="G25" s="590">
        <v>100</v>
      </c>
      <c r="H25" s="591"/>
      <c r="I25" s="86"/>
      <c r="J25" s="69">
        <v>3</v>
      </c>
      <c r="K25" s="69">
        <v>3</v>
      </c>
      <c r="L25" s="104" t="s">
        <v>68</v>
      </c>
      <c r="M25" s="108">
        <f t="shared" si="4"/>
        <v>0</v>
      </c>
      <c r="N25" s="86"/>
      <c r="O25" s="112" t="s">
        <v>71</v>
      </c>
      <c r="P25" s="108">
        <f t="shared" si="5"/>
      </c>
      <c r="Q25" s="86"/>
      <c r="R25" s="112" t="s">
        <v>71</v>
      </c>
      <c r="S25" s="108">
        <f t="shared" si="2"/>
      </c>
      <c r="T25" s="86"/>
      <c r="U25" s="112" t="s">
        <v>71</v>
      </c>
      <c r="V25" s="108">
        <f t="shared" si="3"/>
      </c>
      <c r="W25" s="86"/>
      <c r="X25" s="112" t="s">
        <v>68</v>
      </c>
      <c r="Y25" s="108">
        <f t="shared" si="6"/>
        <v>100</v>
      </c>
      <c r="Z25" s="86"/>
      <c r="AA25" s="112" t="s">
        <v>71</v>
      </c>
      <c r="AB25" s="108">
        <f t="shared" si="7"/>
      </c>
      <c r="AC25" s="86"/>
      <c r="AD25" s="112" t="s">
        <v>71</v>
      </c>
      <c r="AE25" s="108">
        <f t="shared" si="8"/>
      </c>
      <c r="AF25" s="86"/>
      <c r="AG25" s="86"/>
      <c r="AH25" s="86"/>
      <c r="AI25" s="86"/>
    </row>
    <row r="26" spans="2:35" ht="25.5" outlineLevel="2">
      <c r="B26" s="20" t="str">
        <f t="shared" si="0"/>
        <v>E</v>
      </c>
      <c r="C26" s="21">
        <f t="shared" si="1"/>
        <v>1</v>
      </c>
      <c r="D26" s="23" t="s">
        <v>46</v>
      </c>
      <c r="E26" s="13" t="s">
        <v>12</v>
      </c>
      <c r="F26" s="616"/>
      <c r="G26" s="590">
        <v>110</v>
      </c>
      <c r="H26" s="591"/>
      <c r="I26" s="86"/>
      <c r="J26" s="69">
        <v>3</v>
      </c>
      <c r="K26" s="69">
        <v>3</v>
      </c>
      <c r="L26" s="104" t="s">
        <v>68</v>
      </c>
      <c r="M26" s="108">
        <f t="shared" si="4"/>
        <v>0</v>
      </c>
      <c r="N26" s="86"/>
      <c r="O26" s="112" t="s">
        <v>71</v>
      </c>
      <c r="P26" s="108">
        <f t="shared" si="5"/>
      </c>
      <c r="Q26" s="86"/>
      <c r="R26" s="112" t="s">
        <v>71</v>
      </c>
      <c r="S26" s="108">
        <f t="shared" si="2"/>
      </c>
      <c r="T26" s="86"/>
      <c r="U26" s="112" t="s">
        <v>71</v>
      </c>
      <c r="V26" s="108">
        <f t="shared" si="3"/>
      </c>
      <c r="W26" s="86"/>
      <c r="X26" s="112" t="s">
        <v>71</v>
      </c>
      <c r="Y26" s="108">
        <f t="shared" si="6"/>
      </c>
      <c r="Z26" s="86"/>
      <c r="AA26" s="112" t="s">
        <v>68</v>
      </c>
      <c r="AB26" s="108">
        <f t="shared" si="7"/>
        <v>110</v>
      </c>
      <c r="AC26" s="86"/>
      <c r="AD26" s="112" t="s">
        <v>68</v>
      </c>
      <c r="AE26" s="108">
        <f t="shared" si="8"/>
        <v>110</v>
      </c>
      <c r="AF26" s="86"/>
      <c r="AG26" s="86"/>
      <c r="AH26" s="86"/>
      <c r="AI26" s="86"/>
    </row>
    <row r="27" spans="2:35" ht="25.5" outlineLevel="2">
      <c r="B27" s="20" t="str">
        <f t="shared" si="0"/>
        <v>E</v>
      </c>
      <c r="C27" s="21">
        <f t="shared" si="1"/>
        <v>1</v>
      </c>
      <c r="D27" s="23">
        <v>5</v>
      </c>
      <c r="E27" s="13" t="s">
        <v>74</v>
      </c>
      <c r="F27" s="12"/>
      <c r="G27" s="590">
        <v>60</v>
      </c>
      <c r="H27" s="591"/>
      <c r="I27" s="86"/>
      <c r="J27" s="69">
        <v>3</v>
      </c>
      <c r="K27" s="69">
        <v>3</v>
      </c>
      <c r="L27" s="104" t="s">
        <v>68</v>
      </c>
      <c r="M27" s="108">
        <f t="shared" si="4"/>
        <v>0</v>
      </c>
      <c r="N27" s="86"/>
      <c r="O27" s="112" t="s">
        <v>68</v>
      </c>
      <c r="P27" s="108">
        <f t="shared" si="5"/>
        <v>60</v>
      </c>
      <c r="Q27" s="86"/>
      <c r="R27" s="112" t="s">
        <v>71</v>
      </c>
      <c r="S27" s="108">
        <f t="shared" si="2"/>
      </c>
      <c r="T27" s="86"/>
      <c r="U27" s="112" t="s">
        <v>68</v>
      </c>
      <c r="V27" s="108">
        <f t="shared" si="3"/>
        <v>60</v>
      </c>
      <c r="W27" s="86"/>
      <c r="X27" s="112" t="s">
        <v>71</v>
      </c>
      <c r="Y27" s="108">
        <f t="shared" si="6"/>
      </c>
      <c r="Z27" s="86"/>
      <c r="AA27" s="112" t="s">
        <v>68</v>
      </c>
      <c r="AB27" s="108">
        <f t="shared" si="7"/>
        <v>60</v>
      </c>
      <c r="AC27" s="86"/>
      <c r="AD27" s="112" t="s">
        <v>68</v>
      </c>
      <c r="AE27" s="108">
        <f t="shared" si="8"/>
        <v>60</v>
      </c>
      <c r="AF27" s="86"/>
      <c r="AG27" s="86"/>
      <c r="AH27" s="86"/>
      <c r="AI27" s="86"/>
    </row>
    <row r="28" spans="2:35" ht="12.75" outlineLevel="2">
      <c r="B28" s="20" t="s">
        <v>23</v>
      </c>
      <c r="C28" s="21" t="s">
        <v>55</v>
      </c>
      <c r="D28" s="23">
        <f>D27+1</f>
        <v>6</v>
      </c>
      <c r="E28" s="13" t="s">
        <v>92</v>
      </c>
      <c r="F28" s="12"/>
      <c r="G28" s="590">
        <v>30</v>
      </c>
      <c r="H28" s="591"/>
      <c r="I28" s="86"/>
      <c r="J28" s="69">
        <v>2</v>
      </c>
      <c r="K28" s="69"/>
      <c r="L28" s="104" t="s">
        <v>68</v>
      </c>
      <c r="M28" s="108">
        <f t="shared" si="4"/>
        <v>0</v>
      </c>
      <c r="N28" s="86"/>
      <c r="O28" s="112" t="s">
        <v>68</v>
      </c>
      <c r="P28" s="108">
        <f t="shared" si="5"/>
        <v>30</v>
      </c>
      <c r="Q28" s="86"/>
      <c r="R28" s="112" t="s">
        <v>71</v>
      </c>
      <c r="S28" s="108">
        <f t="shared" si="2"/>
      </c>
      <c r="T28" s="86"/>
      <c r="U28" s="112" t="s">
        <v>68</v>
      </c>
      <c r="V28" s="108">
        <f t="shared" si="3"/>
        <v>30</v>
      </c>
      <c r="W28" s="86"/>
      <c r="X28" s="112" t="s">
        <v>71</v>
      </c>
      <c r="Y28" s="108">
        <f t="shared" si="6"/>
      </c>
      <c r="Z28" s="86"/>
      <c r="AA28" s="112" t="s">
        <v>71</v>
      </c>
      <c r="AB28" s="108">
        <f t="shared" si="7"/>
      </c>
      <c r="AC28" s="86"/>
      <c r="AD28" s="112" t="s">
        <v>68</v>
      </c>
      <c r="AE28" s="108">
        <f t="shared" si="8"/>
        <v>30</v>
      </c>
      <c r="AF28" s="86"/>
      <c r="AG28" s="86"/>
      <c r="AH28" s="86"/>
      <c r="AI28" s="86"/>
    </row>
    <row r="29" spans="2:35" ht="12.75" outlineLevel="2">
      <c r="B29" s="20" t="s">
        <v>23</v>
      </c>
      <c r="C29" s="21">
        <v>1</v>
      </c>
      <c r="D29" s="23">
        <f>D28+1</f>
        <v>7</v>
      </c>
      <c r="E29" s="13" t="s">
        <v>67</v>
      </c>
      <c r="F29" s="12"/>
      <c r="G29" s="590">
        <v>40</v>
      </c>
      <c r="H29" s="591"/>
      <c r="I29" s="86"/>
      <c r="J29" s="69">
        <v>2</v>
      </c>
      <c r="K29" s="69"/>
      <c r="L29" s="104" t="s">
        <v>68</v>
      </c>
      <c r="M29" s="108">
        <f t="shared" si="4"/>
        <v>0</v>
      </c>
      <c r="N29" s="86"/>
      <c r="O29" s="112" t="s">
        <v>71</v>
      </c>
      <c r="P29" s="108">
        <f t="shared" si="5"/>
      </c>
      <c r="Q29" s="86"/>
      <c r="R29" s="112" t="s">
        <v>71</v>
      </c>
      <c r="S29" s="108">
        <f t="shared" si="2"/>
      </c>
      <c r="T29" s="86"/>
      <c r="U29" s="112" t="s">
        <v>71</v>
      </c>
      <c r="V29" s="108">
        <f t="shared" si="3"/>
      </c>
      <c r="W29" s="86"/>
      <c r="X29" s="112" t="s">
        <v>68</v>
      </c>
      <c r="Y29" s="108">
        <f t="shared" si="6"/>
        <v>40</v>
      </c>
      <c r="Z29" s="86"/>
      <c r="AA29" s="112" t="s">
        <v>71</v>
      </c>
      <c r="AB29" s="108">
        <f t="shared" si="7"/>
      </c>
      <c r="AC29" s="86"/>
      <c r="AD29" s="112" t="s">
        <v>71</v>
      </c>
      <c r="AE29" s="108">
        <f t="shared" si="8"/>
      </c>
      <c r="AF29" s="86"/>
      <c r="AG29" s="86"/>
      <c r="AH29" s="86"/>
      <c r="AI29" s="86"/>
    </row>
    <row r="30" spans="2:35" ht="12.75" outlineLevel="2">
      <c r="B30" s="20" t="str">
        <f aca="true" t="shared" si="9" ref="B30:B45">B$18</f>
        <v>E</v>
      </c>
      <c r="C30" s="21">
        <f>C$19</f>
        <v>1</v>
      </c>
      <c r="D30" s="23">
        <f>D29+1</f>
        <v>8</v>
      </c>
      <c r="E30" s="13" t="s">
        <v>39</v>
      </c>
      <c r="F30" s="12" t="s">
        <v>9</v>
      </c>
      <c r="G30" s="590">
        <v>10</v>
      </c>
      <c r="H30" s="591"/>
      <c r="I30" s="86"/>
      <c r="J30" s="69">
        <v>2</v>
      </c>
      <c r="K30" s="69">
        <v>2</v>
      </c>
      <c r="L30" s="104" t="s">
        <v>68</v>
      </c>
      <c r="M30" s="108">
        <f t="shared" si="4"/>
        <v>10</v>
      </c>
      <c r="N30" s="86"/>
      <c r="O30" s="112" t="s">
        <v>68</v>
      </c>
      <c r="P30" s="108">
        <f t="shared" si="5"/>
        <v>10</v>
      </c>
      <c r="Q30" s="86"/>
      <c r="R30" s="112" t="s">
        <v>68</v>
      </c>
      <c r="S30" s="108">
        <f t="shared" si="2"/>
        <v>10</v>
      </c>
      <c r="T30" s="86"/>
      <c r="U30" s="112" t="s">
        <v>68</v>
      </c>
      <c r="V30" s="108">
        <f t="shared" si="3"/>
        <v>10</v>
      </c>
      <c r="W30" s="86"/>
      <c r="X30" s="112" t="s">
        <v>68</v>
      </c>
      <c r="Y30" s="108">
        <f t="shared" si="6"/>
        <v>10</v>
      </c>
      <c r="Z30" s="86"/>
      <c r="AA30" s="112" t="s">
        <v>68</v>
      </c>
      <c r="AB30" s="108">
        <f t="shared" si="7"/>
        <v>10</v>
      </c>
      <c r="AC30" s="86"/>
      <c r="AD30" s="112" t="s">
        <v>68</v>
      </c>
      <c r="AE30" s="108">
        <f t="shared" si="8"/>
        <v>10</v>
      </c>
      <c r="AF30" s="86"/>
      <c r="AG30" s="86"/>
      <c r="AH30" s="86"/>
      <c r="AI30" s="86"/>
    </row>
    <row r="31" spans="2:35" ht="12.75" outlineLevel="2">
      <c r="B31" s="20" t="str">
        <f t="shared" si="9"/>
        <v>E</v>
      </c>
      <c r="C31" s="21">
        <f>C$19</f>
        <v>1</v>
      </c>
      <c r="D31" s="23">
        <f>D30+1</f>
        <v>9</v>
      </c>
      <c r="E31" s="13" t="s">
        <v>93</v>
      </c>
      <c r="F31" s="12"/>
      <c r="G31" s="590">
        <v>15</v>
      </c>
      <c r="H31" s="591"/>
      <c r="I31" s="86"/>
      <c r="J31" s="69">
        <v>2</v>
      </c>
      <c r="K31" s="69">
        <v>2</v>
      </c>
      <c r="L31" s="104" t="s">
        <v>68</v>
      </c>
      <c r="M31" s="108">
        <f t="shared" si="4"/>
        <v>0</v>
      </c>
      <c r="N31" s="86"/>
      <c r="O31" s="112" t="s">
        <v>68</v>
      </c>
      <c r="P31" s="108">
        <f t="shared" si="5"/>
        <v>15</v>
      </c>
      <c r="Q31" s="86"/>
      <c r="R31" s="112" t="s">
        <v>68</v>
      </c>
      <c r="S31" s="108">
        <f t="shared" si="2"/>
        <v>15</v>
      </c>
      <c r="T31" s="86"/>
      <c r="U31" s="112" t="s">
        <v>68</v>
      </c>
      <c r="V31" s="108">
        <f t="shared" si="3"/>
        <v>15</v>
      </c>
      <c r="W31" s="86"/>
      <c r="X31" s="112" t="s">
        <v>71</v>
      </c>
      <c r="Y31" s="108">
        <f t="shared" si="6"/>
      </c>
      <c r="Z31" s="86"/>
      <c r="AA31" s="112" t="s">
        <v>71</v>
      </c>
      <c r="AB31" s="108">
        <f t="shared" si="7"/>
      </c>
      <c r="AC31" s="86"/>
      <c r="AD31" s="112" t="s">
        <v>68</v>
      </c>
      <c r="AE31" s="108">
        <f t="shared" si="8"/>
        <v>15</v>
      </c>
      <c r="AF31" s="86"/>
      <c r="AG31" s="86"/>
      <c r="AH31" s="86"/>
      <c r="AI31" s="86"/>
    </row>
    <row r="32" spans="2:35" ht="12.75" outlineLevel="2">
      <c r="B32" s="20" t="str">
        <f t="shared" si="9"/>
        <v>E</v>
      </c>
      <c r="C32" s="21">
        <f>C$19</f>
        <v>1</v>
      </c>
      <c r="D32" s="23">
        <f>D31+1</f>
        <v>10</v>
      </c>
      <c r="E32" s="13" t="s">
        <v>94</v>
      </c>
      <c r="F32" s="12"/>
      <c r="G32" s="590">
        <v>10</v>
      </c>
      <c r="H32" s="591"/>
      <c r="I32" s="86"/>
      <c r="J32" s="69">
        <v>2</v>
      </c>
      <c r="K32" s="69">
        <v>2</v>
      </c>
      <c r="L32" s="104" t="s">
        <v>68</v>
      </c>
      <c r="M32" s="108">
        <f t="shared" si="4"/>
        <v>0</v>
      </c>
      <c r="N32" s="86"/>
      <c r="O32" s="112" t="s">
        <v>68</v>
      </c>
      <c r="P32" s="108">
        <f t="shared" si="5"/>
        <v>10</v>
      </c>
      <c r="Q32" s="86"/>
      <c r="R32" s="112" t="s">
        <v>68</v>
      </c>
      <c r="S32" s="108">
        <f t="shared" si="2"/>
        <v>10</v>
      </c>
      <c r="T32" s="86"/>
      <c r="U32" s="112" t="s">
        <v>68</v>
      </c>
      <c r="V32" s="108">
        <f t="shared" si="3"/>
        <v>10</v>
      </c>
      <c r="W32" s="86"/>
      <c r="X32" s="112" t="s">
        <v>68</v>
      </c>
      <c r="Y32" s="108">
        <f t="shared" si="6"/>
        <v>10</v>
      </c>
      <c r="Z32" s="86"/>
      <c r="AA32" s="112" t="s">
        <v>68</v>
      </c>
      <c r="AB32" s="108">
        <f t="shared" si="7"/>
        <v>10</v>
      </c>
      <c r="AC32" s="86"/>
      <c r="AD32" s="112" t="s">
        <v>68</v>
      </c>
      <c r="AE32" s="108">
        <f t="shared" si="8"/>
        <v>10</v>
      </c>
      <c r="AF32" s="86"/>
      <c r="AG32" s="86"/>
      <c r="AH32" s="86"/>
      <c r="AI32" s="86"/>
    </row>
    <row r="33" spans="2:35" ht="12.75" outlineLevel="1">
      <c r="B33" s="34" t="str">
        <f t="shared" si="9"/>
        <v>E</v>
      </c>
      <c r="C33" s="35">
        <v>2</v>
      </c>
      <c r="D33" s="27"/>
      <c r="E33" s="158" t="s">
        <v>108</v>
      </c>
      <c r="F33" s="78">
        <v>55</v>
      </c>
      <c r="G33" s="140">
        <f>IF(H33&gt;F33,F33,H33)</f>
        <v>55</v>
      </c>
      <c r="H33" s="80">
        <f>SUMIF(L34:L37,"j",G34:G37)</f>
        <v>55</v>
      </c>
      <c r="I33" s="86"/>
      <c r="J33" s="69"/>
      <c r="K33" s="69"/>
      <c r="L33" s="117"/>
      <c r="M33" s="105">
        <f>SUM(M34:M37)</f>
        <v>0</v>
      </c>
      <c r="N33" s="86"/>
      <c r="O33" s="559">
        <f>IF(SUM(P34:P37)&gt;$F33,$F33,SUM(P34:P37))</f>
        <v>30</v>
      </c>
      <c r="P33" s="557"/>
      <c r="Q33" s="86"/>
      <c r="R33" s="559">
        <f>IF(SUM(S34:S37)&gt;$F33,$F33,SUM(S34:S37))</f>
        <v>30</v>
      </c>
      <c r="S33" s="557"/>
      <c r="T33" s="86"/>
      <c r="U33" s="559">
        <f>IF(SUM(V34:V37)&gt;$F33,$F33,SUM(V34:V37))</f>
        <v>30</v>
      </c>
      <c r="V33" s="557"/>
      <c r="W33" s="86"/>
      <c r="X33" s="559">
        <f>IF(SUM(Y34:Y37)&gt;$F33,$F33,SUM(Y34:Y37))</f>
        <v>30</v>
      </c>
      <c r="Y33" s="557"/>
      <c r="Z33" s="86"/>
      <c r="AA33" s="559">
        <f>IF(SUM(AB34:AB37)&gt;$F33,$F33,SUM(AB34:AB37))</f>
        <v>30</v>
      </c>
      <c r="AB33" s="557"/>
      <c r="AC33" s="86"/>
      <c r="AD33" s="559">
        <f>IF(SUM(AE34:AE37)&gt;$F33,$F33,SUM(AE34:AE37))</f>
        <v>30</v>
      </c>
      <c r="AE33" s="557"/>
      <c r="AF33" s="91"/>
      <c r="AG33" s="91"/>
      <c r="AH33" s="86"/>
      <c r="AI33" s="86"/>
    </row>
    <row r="34" spans="2:35" ht="12.75" outlineLevel="2">
      <c r="B34" s="20" t="str">
        <f t="shared" si="9"/>
        <v>E</v>
      </c>
      <c r="C34" s="21">
        <f>C$33</f>
        <v>2</v>
      </c>
      <c r="D34" s="23">
        <v>1</v>
      </c>
      <c r="E34" s="13" t="s">
        <v>56</v>
      </c>
      <c r="F34" s="12"/>
      <c r="G34" s="590">
        <v>5</v>
      </c>
      <c r="H34" s="591"/>
      <c r="I34" s="86"/>
      <c r="J34" s="157">
        <v>0</v>
      </c>
      <c r="K34" s="69">
        <v>1</v>
      </c>
      <c r="L34" s="104" t="s">
        <v>68</v>
      </c>
      <c r="M34" s="108">
        <f>IF(AND($F34=M$4,$L34="j"),$G34,0)</f>
        <v>0</v>
      </c>
      <c r="N34" s="86"/>
      <c r="O34" s="112" t="s">
        <v>68</v>
      </c>
      <c r="P34" s="108">
        <f>IF(AND(O34="j",$L34="j"),$G34,"")</f>
        <v>5</v>
      </c>
      <c r="Q34" s="86"/>
      <c r="R34" s="112" t="s">
        <v>68</v>
      </c>
      <c r="S34" s="108">
        <f>IF(AND(R34="j",$L34="j"),$G34,"")</f>
        <v>5</v>
      </c>
      <c r="T34" s="86"/>
      <c r="U34" s="112" t="s">
        <v>68</v>
      </c>
      <c r="V34" s="108">
        <f>IF(AND(U34="j",$L34="j"),$G34,"")</f>
        <v>5</v>
      </c>
      <c r="W34" s="86"/>
      <c r="X34" s="112" t="s">
        <v>68</v>
      </c>
      <c r="Y34" s="108">
        <f>IF(AND(X34="j",$L34="j"),$G34,"")</f>
        <v>5</v>
      </c>
      <c r="Z34" s="86"/>
      <c r="AA34" s="112" t="s">
        <v>68</v>
      </c>
      <c r="AB34" s="108">
        <f>IF(AND(AA34="j",$L34="j"),$G34,"")</f>
        <v>5</v>
      </c>
      <c r="AC34" s="86"/>
      <c r="AD34" s="112" t="s">
        <v>68</v>
      </c>
      <c r="AE34" s="108">
        <f>IF(AND(AD34="j",$L34="j"),$G34,"")</f>
        <v>5</v>
      </c>
      <c r="AF34" s="86"/>
      <c r="AG34" s="86"/>
      <c r="AH34" s="86"/>
      <c r="AI34" s="86"/>
    </row>
    <row r="35" spans="2:35" ht="12.75" outlineLevel="2">
      <c r="B35" s="20" t="str">
        <f t="shared" si="9"/>
        <v>E</v>
      </c>
      <c r="C35" s="21">
        <f>C$33</f>
        <v>2</v>
      </c>
      <c r="D35" s="23">
        <f>D34+1</f>
        <v>2</v>
      </c>
      <c r="E35" s="13" t="s">
        <v>25</v>
      </c>
      <c r="F35" s="12"/>
      <c r="G35" s="590">
        <v>10</v>
      </c>
      <c r="H35" s="591"/>
      <c r="I35" s="86"/>
      <c r="J35" s="69">
        <v>2</v>
      </c>
      <c r="K35" s="69">
        <v>2</v>
      </c>
      <c r="L35" s="104" t="s">
        <v>68</v>
      </c>
      <c r="M35" s="108">
        <f>IF(AND($F35=M$4,$L35="j"),$G35,0)</f>
        <v>0</v>
      </c>
      <c r="N35" s="86"/>
      <c r="O35" s="112" t="s">
        <v>68</v>
      </c>
      <c r="P35" s="108">
        <f>IF(AND(O35="j",$L35="j"),$G35,"")</f>
        <v>10</v>
      </c>
      <c r="Q35" s="86"/>
      <c r="R35" s="112" t="s">
        <v>68</v>
      </c>
      <c r="S35" s="108">
        <f>IF(AND(R35="j",$L35="j"),$G35,"")</f>
        <v>10</v>
      </c>
      <c r="T35" s="86"/>
      <c r="U35" s="112" t="s">
        <v>68</v>
      </c>
      <c r="V35" s="108">
        <f>IF(AND(U35="j",$L35="j"),$G35,"")</f>
        <v>10</v>
      </c>
      <c r="W35" s="86"/>
      <c r="X35" s="112" t="s">
        <v>68</v>
      </c>
      <c r="Y35" s="108">
        <f>IF(AND(X35="j",$L35="j"),$G35,"")</f>
        <v>10</v>
      </c>
      <c r="Z35" s="86"/>
      <c r="AA35" s="112" t="s">
        <v>68</v>
      </c>
      <c r="AB35" s="108">
        <f>IF(AND(AA35="j",$L35="j"),$G35,"")</f>
        <v>10</v>
      </c>
      <c r="AC35" s="86"/>
      <c r="AD35" s="112" t="s">
        <v>68</v>
      </c>
      <c r="AE35" s="108">
        <f>IF(AND(AD35="j",$L35="j"),$G35,"")</f>
        <v>10</v>
      </c>
      <c r="AF35" s="86"/>
      <c r="AG35" s="86"/>
      <c r="AH35" s="86"/>
      <c r="AI35" s="86"/>
    </row>
    <row r="36" spans="2:35" ht="12.75" outlineLevel="2">
      <c r="B36" s="20" t="str">
        <f t="shared" si="9"/>
        <v>E</v>
      </c>
      <c r="C36" s="21">
        <f>C$33</f>
        <v>2</v>
      </c>
      <c r="D36" s="23">
        <f>D35+1</f>
        <v>3</v>
      </c>
      <c r="E36" s="13" t="s">
        <v>65</v>
      </c>
      <c r="F36" s="12"/>
      <c r="G36" s="590">
        <v>15</v>
      </c>
      <c r="H36" s="591"/>
      <c r="I36" s="86"/>
      <c r="J36" s="69">
        <v>2</v>
      </c>
      <c r="K36" s="69">
        <v>2</v>
      </c>
      <c r="L36" s="104" t="s">
        <v>68</v>
      </c>
      <c r="M36" s="108">
        <f>IF(AND($F36=M$4,$L36="j"),$G36,0)</f>
        <v>0</v>
      </c>
      <c r="N36" s="86"/>
      <c r="O36" s="112" t="s">
        <v>68</v>
      </c>
      <c r="P36" s="108">
        <f>IF(AND(O36="j",$L36="j"),$G36,"")</f>
        <v>15</v>
      </c>
      <c r="Q36" s="86"/>
      <c r="R36" s="112" t="s">
        <v>68</v>
      </c>
      <c r="S36" s="108">
        <f>IF(AND(R36="j",$L36="j"),$G36,"")</f>
        <v>15</v>
      </c>
      <c r="T36" s="86"/>
      <c r="U36" s="112" t="s">
        <v>68</v>
      </c>
      <c r="V36" s="108">
        <f>IF(AND(U36="j",$L36="j"),$G36,"")</f>
        <v>15</v>
      </c>
      <c r="W36" s="86"/>
      <c r="X36" s="112" t="s">
        <v>68</v>
      </c>
      <c r="Y36" s="108">
        <f>IF(AND(X36="j",$L36="j"),$G36,"")</f>
        <v>15</v>
      </c>
      <c r="Z36" s="86"/>
      <c r="AA36" s="112" t="s">
        <v>68</v>
      </c>
      <c r="AB36" s="108">
        <f>IF(AND(AA36="j",$L36="j"),$G36,"")</f>
        <v>15</v>
      </c>
      <c r="AC36" s="86"/>
      <c r="AD36" s="112" t="s">
        <v>68</v>
      </c>
      <c r="AE36" s="108">
        <f>IF(AND(AD36="j",$L36="j"),$G36,"")</f>
        <v>15</v>
      </c>
      <c r="AF36" s="86"/>
      <c r="AG36" s="86"/>
      <c r="AH36" s="86"/>
      <c r="AI36" s="86"/>
    </row>
    <row r="37" spans="2:35" ht="12.75" outlineLevel="2">
      <c r="B37" s="20" t="str">
        <f t="shared" si="9"/>
        <v>E</v>
      </c>
      <c r="C37" s="21">
        <f>C$33</f>
        <v>2</v>
      </c>
      <c r="D37" s="23">
        <f>D36+1</f>
        <v>4</v>
      </c>
      <c r="E37" s="13" t="s">
        <v>77</v>
      </c>
      <c r="F37" s="12"/>
      <c r="G37" s="590">
        <v>25</v>
      </c>
      <c r="H37" s="591"/>
      <c r="I37" s="86"/>
      <c r="J37" s="69">
        <v>1</v>
      </c>
      <c r="K37" s="69">
        <v>3</v>
      </c>
      <c r="L37" s="104" t="s">
        <v>68</v>
      </c>
      <c r="M37" s="108">
        <f>IF(AND($F37=M$4,$L37="j"),$G37,0)</f>
        <v>0</v>
      </c>
      <c r="N37" s="86"/>
      <c r="O37" s="112" t="s">
        <v>71</v>
      </c>
      <c r="P37" s="108">
        <f>IF(AND(O37="j",$L37="j"),$G37,"")</f>
      </c>
      <c r="Q37" s="86"/>
      <c r="R37" s="112" t="s">
        <v>71</v>
      </c>
      <c r="S37" s="108">
        <f>IF(AND(R37="j",$L37="j"),$G37,"")</f>
      </c>
      <c r="T37" s="86"/>
      <c r="U37" s="112" t="s">
        <v>71</v>
      </c>
      <c r="V37" s="108">
        <f>IF(AND(U37="j",$L37="j"),$G37,"")</f>
      </c>
      <c r="W37" s="86"/>
      <c r="X37" s="112" t="s">
        <v>71</v>
      </c>
      <c r="Y37" s="108">
        <f>IF(AND(X37="j",$L37="j"),$G37,"")</f>
      </c>
      <c r="Z37" s="86"/>
      <c r="AA37" s="112" t="s">
        <v>71</v>
      </c>
      <c r="AB37" s="108">
        <f>IF(AND(AA37="j",$L37="j"),$G37,"")</f>
      </c>
      <c r="AC37" s="86"/>
      <c r="AD37" s="112" t="s">
        <v>71</v>
      </c>
      <c r="AE37" s="108">
        <f>IF(AND(AD37="j",$L37="j"),$G37,"")</f>
      </c>
      <c r="AF37" s="86"/>
      <c r="AG37" s="86"/>
      <c r="AH37" s="86"/>
      <c r="AI37" s="86"/>
    </row>
    <row r="38" spans="2:35" ht="12.75" outlineLevel="1">
      <c r="B38" s="34" t="str">
        <f t="shared" si="9"/>
        <v>E</v>
      </c>
      <c r="C38" s="35">
        <v>3</v>
      </c>
      <c r="D38" s="27"/>
      <c r="E38" s="158" t="s">
        <v>109</v>
      </c>
      <c r="F38" s="78">
        <v>75</v>
      </c>
      <c r="G38" s="140">
        <f>IF(H38&gt;F38,F38,H38)</f>
        <v>40</v>
      </c>
      <c r="H38" s="80">
        <f>SUMIF(L39:L45,"j",G39:G45)</f>
        <v>40</v>
      </c>
      <c r="I38" s="86"/>
      <c r="J38" s="69"/>
      <c r="K38" s="69"/>
      <c r="L38" s="117"/>
      <c r="M38" s="105">
        <f>SUM(M39:M45)</f>
        <v>10</v>
      </c>
      <c r="N38" s="86"/>
      <c r="O38" s="559">
        <f>IF(SUM(P39:P45)&gt;$F38,$F38,SUM(P39:P45))</f>
        <v>40</v>
      </c>
      <c r="P38" s="557"/>
      <c r="Q38" s="86"/>
      <c r="R38" s="559">
        <f>IF(SUM(S39:S45)&gt;$F38,$F38,SUM(S39:S45))</f>
        <v>10</v>
      </c>
      <c r="S38" s="557"/>
      <c r="T38" s="86"/>
      <c r="U38" s="559">
        <f>IF(SUM(V39:V45)&gt;$F38,$F38,SUM(V39:V45))</f>
        <v>15</v>
      </c>
      <c r="V38" s="557"/>
      <c r="W38" s="86"/>
      <c r="X38" s="559">
        <f>IF(SUM(Y39:Y45)&gt;$F38,$F38,SUM(Y39:Y45))</f>
        <v>10</v>
      </c>
      <c r="Y38" s="557"/>
      <c r="Z38" s="86"/>
      <c r="AA38" s="559">
        <f>IF(SUM(AB39:AB45)&gt;$F38,$F38,SUM(AB39:AB45))</f>
        <v>15</v>
      </c>
      <c r="AB38" s="557"/>
      <c r="AC38" s="86"/>
      <c r="AD38" s="559">
        <f>IF(SUM(AE39:AE45)&gt;$F38,$F38,SUM(AE39:AE45))</f>
        <v>20</v>
      </c>
      <c r="AE38" s="557"/>
      <c r="AF38" s="91"/>
      <c r="AG38" s="91"/>
      <c r="AH38" s="86"/>
      <c r="AI38" s="86"/>
    </row>
    <row r="39" spans="2:35" ht="12.75" outlineLevel="2">
      <c r="B39" s="20" t="str">
        <f t="shared" si="9"/>
        <v>E</v>
      </c>
      <c r="C39" s="21">
        <f aca="true" t="shared" si="10" ref="C39:C45">C$38</f>
        <v>3</v>
      </c>
      <c r="D39" s="23">
        <v>1</v>
      </c>
      <c r="E39" s="13" t="s">
        <v>26</v>
      </c>
      <c r="F39" s="12"/>
      <c r="G39" s="590">
        <v>10</v>
      </c>
      <c r="H39" s="591"/>
      <c r="I39" s="86"/>
      <c r="J39" s="157">
        <v>0</v>
      </c>
      <c r="K39" s="69">
        <v>2</v>
      </c>
      <c r="L39" s="104" t="s">
        <v>68</v>
      </c>
      <c r="M39" s="108">
        <f aca="true" t="shared" si="11" ref="M39:M45">IF(AND($F39=M$4,$L39="j"),$G39,0)</f>
        <v>0</v>
      </c>
      <c r="N39" s="86"/>
      <c r="O39" s="112" t="s">
        <v>68</v>
      </c>
      <c r="P39" s="108">
        <f aca="true" t="shared" si="12" ref="P39:P45">IF(AND(O39="j",$L39="j"),$G39,"")</f>
        <v>10</v>
      </c>
      <c r="Q39" s="86"/>
      <c r="R39" s="112" t="s">
        <v>71</v>
      </c>
      <c r="S39" s="108">
        <f aca="true" t="shared" si="13" ref="S39:S45">IF(AND(R39="j",$L39="j"),$G39,"")</f>
      </c>
      <c r="T39" s="86"/>
      <c r="U39" s="112" t="s">
        <v>71</v>
      </c>
      <c r="V39" s="108">
        <f aca="true" t="shared" si="14" ref="V39:V45">IF(AND(U39="j",$L39="j"),$G39,"")</f>
      </c>
      <c r="W39" s="86"/>
      <c r="X39" s="112" t="s">
        <v>71</v>
      </c>
      <c r="Y39" s="108">
        <f aca="true" t="shared" si="15" ref="Y39:Y45">IF(AND(X39="j",$L39="j"),$G39,"")</f>
      </c>
      <c r="Z39" s="86"/>
      <c r="AA39" s="112" t="s">
        <v>68</v>
      </c>
      <c r="AB39" s="108">
        <f aca="true" t="shared" si="16" ref="AB39:AB45">IF(AND(AA39="j",$L39="j"),$G39,"")</f>
        <v>10</v>
      </c>
      <c r="AC39" s="86"/>
      <c r="AD39" s="112" t="s">
        <v>68</v>
      </c>
      <c r="AE39" s="108">
        <f aca="true" t="shared" si="17" ref="AE39:AE45">IF(AND(AD39="j",$L39="j"),$G39,"")</f>
        <v>10</v>
      </c>
      <c r="AF39" s="86"/>
      <c r="AG39" s="86"/>
      <c r="AH39" s="86"/>
      <c r="AI39" s="86"/>
    </row>
    <row r="40" spans="2:35" ht="25.5" outlineLevel="2">
      <c r="B40" s="20" t="str">
        <f t="shared" si="9"/>
        <v>E</v>
      </c>
      <c r="C40" s="21">
        <f t="shared" si="10"/>
        <v>3</v>
      </c>
      <c r="D40" s="23">
        <f aca="true" t="shared" si="18" ref="D40:D45">D39+1</f>
        <v>2</v>
      </c>
      <c r="E40" s="13" t="s">
        <v>27</v>
      </c>
      <c r="F40" s="12"/>
      <c r="G40" s="590">
        <v>15</v>
      </c>
      <c r="H40" s="591"/>
      <c r="I40" s="86"/>
      <c r="J40" s="157">
        <v>0</v>
      </c>
      <c r="K40" s="69">
        <v>2</v>
      </c>
      <c r="L40" s="104" t="s">
        <v>68</v>
      </c>
      <c r="M40" s="108">
        <f t="shared" si="11"/>
        <v>0</v>
      </c>
      <c r="N40" s="86"/>
      <c r="O40" s="112" t="s">
        <v>68</v>
      </c>
      <c r="P40" s="108">
        <f t="shared" si="12"/>
        <v>15</v>
      </c>
      <c r="Q40" s="86"/>
      <c r="R40" s="112" t="s">
        <v>71</v>
      </c>
      <c r="S40" s="108">
        <f t="shared" si="13"/>
      </c>
      <c r="T40" s="86"/>
      <c r="U40" s="112" t="s">
        <v>71</v>
      </c>
      <c r="V40" s="108">
        <f t="shared" si="14"/>
      </c>
      <c r="W40" s="86"/>
      <c r="X40" s="112" t="s">
        <v>71</v>
      </c>
      <c r="Y40" s="108">
        <f t="shared" si="15"/>
      </c>
      <c r="Z40" s="86"/>
      <c r="AA40" s="112" t="s">
        <v>71</v>
      </c>
      <c r="AB40" s="108">
        <f t="shared" si="16"/>
      </c>
      <c r="AC40" s="86"/>
      <c r="AD40" s="112" t="s">
        <v>71</v>
      </c>
      <c r="AE40" s="108">
        <f t="shared" si="17"/>
      </c>
      <c r="AF40" s="86"/>
      <c r="AG40" s="86"/>
      <c r="AH40" s="86"/>
      <c r="AI40" s="86"/>
    </row>
    <row r="41" spans="2:35" ht="25.5" outlineLevel="2">
      <c r="B41" s="20" t="str">
        <f t="shared" si="9"/>
        <v>E</v>
      </c>
      <c r="C41" s="21">
        <f t="shared" si="10"/>
        <v>3</v>
      </c>
      <c r="D41" s="23">
        <f t="shared" si="18"/>
        <v>3</v>
      </c>
      <c r="E41" s="13" t="s">
        <v>81</v>
      </c>
      <c r="F41" s="12" t="s">
        <v>9</v>
      </c>
      <c r="G41" s="590">
        <v>10</v>
      </c>
      <c r="H41" s="591"/>
      <c r="I41" s="86"/>
      <c r="J41" s="69">
        <v>1</v>
      </c>
      <c r="K41" s="69">
        <v>2</v>
      </c>
      <c r="L41" s="104" t="s">
        <v>68</v>
      </c>
      <c r="M41" s="108">
        <f t="shared" si="11"/>
        <v>10</v>
      </c>
      <c r="N41" s="86"/>
      <c r="O41" s="112" t="s">
        <v>68</v>
      </c>
      <c r="P41" s="108">
        <f t="shared" si="12"/>
        <v>10</v>
      </c>
      <c r="Q41" s="86"/>
      <c r="R41" s="112" t="s">
        <v>68</v>
      </c>
      <c r="S41" s="108">
        <f t="shared" si="13"/>
        <v>10</v>
      </c>
      <c r="T41" s="86"/>
      <c r="U41" s="112" t="s">
        <v>68</v>
      </c>
      <c r="V41" s="108">
        <f t="shared" si="14"/>
        <v>10</v>
      </c>
      <c r="W41" s="86"/>
      <c r="X41" s="112" t="s">
        <v>68</v>
      </c>
      <c r="Y41" s="108">
        <f t="shared" si="15"/>
        <v>10</v>
      </c>
      <c r="Z41" s="86"/>
      <c r="AA41" s="112" t="s">
        <v>71</v>
      </c>
      <c r="AB41" s="108">
        <f t="shared" si="16"/>
      </c>
      <c r="AC41" s="86"/>
      <c r="AD41" s="112" t="s">
        <v>68</v>
      </c>
      <c r="AE41" s="108">
        <f t="shared" si="17"/>
        <v>10</v>
      </c>
      <c r="AF41" s="86"/>
      <c r="AG41" s="86"/>
      <c r="AH41" s="86"/>
      <c r="AI41" s="86"/>
    </row>
    <row r="42" spans="2:35" ht="12.75" outlineLevel="2">
      <c r="B42" s="20" t="str">
        <f t="shared" si="9"/>
        <v>E</v>
      </c>
      <c r="C42" s="21">
        <f t="shared" si="10"/>
        <v>3</v>
      </c>
      <c r="D42" s="23">
        <f t="shared" si="18"/>
        <v>4</v>
      </c>
      <c r="E42" s="13" t="s">
        <v>28</v>
      </c>
      <c r="F42" s="12"/>
      <c r="G42" s="590">
        <v>5</v>
      </c>
      <c r="H42" s="591"/>
      <c r="I42" s="86"/>
      <c r="J42" s="157">
        <v>0</v>
      </c>
      <c r="K42" s="69">
        <v>2</v>
      </c>
      <c r="L42" s="104" t="s">
        <v>71</v>
      </c>
      <c r="M42" s="108">
        <f t="shared" si="11"/>
        <v>0</v>
      </c>
      <c r="N42" s="86"/>
      <c r="O42" s="112" t="s">
        <v>68</v>
      </c>
      <c r="P42" s="108">
        <f t="shared" si="12"/>
      </c>
      <c r="Q42" s="86"/>
      <c r="R42" s="112" t="s">
        <v>71</v>
      </c>
      <c r="S42" s="108">
        <f t="shared" si="13"/>
      </c>
      <c r="T42" s="86"/>
      <c r="U42" s="112" t="s">
        <v>68</v>
      </c>
      <c r="V42" s="108">
        <f t="shared" si="14"/>
      </c>
      <c r="W42" s="86"/>
      <c r="X42" s="112" t="s">
        <v>71</v>
      </c>
      <c r="Y42" s="108">
        <f t="shared" si="15"/>
      </c>
      <c r="Z42" s="86"/>
      <c r="AA42" s="112" t="s">
        <v>68</v>
      </c>
      <c r="AB42" s="108">
        <f t="shared" si="16"/>
      </c>
      <c r="AC42" s="86"/>
      <c r="AD42" s="112" t="s">
        <v>71</v>
      </c>
      <c r="AE42" s="108">
        <f t="shared" si="17"/>
      </c>
      <c r="AF42" s="86"/>
      <c r="AG42" s="86"/>
      <c r="AH42" s="86"/>
      <c r="AI42" s="86"/>
    </row>
    <row r="43" spans="2:35" ht="12.75" outlineLevel="2">
      <c r="B43" s="20" t="str">
        <f t="shared" si="9"/>
        <v>E</v>
      </c>
      <c r="C43" s="21">
        <f t="shared" si="10"/>
        <v>3</v>
      </c>
      <c r="D43" s="23">
        <f t="shared" si="18"/>
        <v>5</v>
      </c>
      <c r="E43" s="13" t="s">
        <v>29</v>
      </c>
      <c r="F43" s="12"/>
      <c r="G43" s="590">
        <v>5</v>
      </c>
      <c r="H43" s="591"/>
      <c r="I43" s="86"/>
      <c r="J43" s="69">
        <v>1</v>
      </c>
      <c r="K43" s="69">
        <v>2</v>
      </c>
      <c r="L43" s="104" t="s">
        <v>68</v>
      </c>
      <c r="M43" s="108">
        <f t="shared" si="11"/>
        <v>0</v>
      </c>
      <c r="N43" s="86"/>
      <c r="O43" s="112" t="s">
        <v>68</v>
      </c>
      <c r="P43" s="108">
        <f t="shared" si="12"/>
        <v>5</v>
      </c>
      <c r="Q43" s="86"/>
      <c r="R43" s="112" t="s">
        <v>71</v>
      </c>
      <c r="S43" s="108">
        <f t="shared" si="13"/>
      </c>
      <c r="T43" s="86"/>
      <c r="U43" s="112" t="s">
        <v>68</v>
      </c>
      <c r="V43" s="108">
        <f t="shared" si="14"/>
        <v>5</v>
      </c>
      <c r="W43" s="86"/>
      <c r="X43" s="112" t="s">
        <v>71</v>
      </c>
      <c r="Y43" s="108">
        <f t="shared" si="15"/>
      </c>
      <c r="Z43" s="86"/>
      <c r="AA43" s="112" t="s">
        <v>68</v>
      </c>
      <c r="AB43" s="108">
        <f t="shared" si="16"/>
        <v>5</v>
      </c>
      <c r="AC43" s="86"/>
      <c r="AD43" s="112" t="s">
        <v>71</v>
      </c>
      <c r="AE43" s="108">
        <f t="shared" si="17"/>
      </c>
      <c r="AF43" s="86"/>
      <c r="AG43" s="86"/>
      <c r="AH43" s="86"/>
      <c r="AI43" s="86"/>
    </row>
    <row r="44" spans="2:35" ht="12.75" outlineLevel="2">
      <c r="B44" s="20" t="str">
        <f t="shared" si="9"/>
        <v>E</v>
      </c>
      <c r="C44" s="21">
        <f t="shared" si="10"/>
        <v>3</v>
      </c>
      <c r="D44" s="23">
        <f t="shared" si="18"/>
        <v>6</v>
      </c>
      <c r="E44" s="13" t="s">
        <v>95</v>
      </c>
      <c r="F44" s="12"/>
      <c r="G44" s="590">
        <v>20</v>
      </c>
      <c r="H44" s="591"/>
      <c r="I44" s="86"/>
      <c r="J44" s="157">
        <v>0</v>
      </c>
      <c r="K44" s="69">
        <v>2</v>
      </c>
      <c r="L44" s="104" t="s">
        <v>71</v>
      </c>
      <c r="M44" s="108">
        <f t="shared" si="11"/>
        <v>0</v>
      </c>
      <c r="N44" s="86"/>
      <c r="O44" s="112" t="s">
        <v>68</v>
      </c>
      <c r="P44" s="108">
        <f t="shared" si="12"/>
      </c>
      <c r="Q44" s="86"/>
      <c r="R44" s="112" t="s">
        <v>68</v>
      </c>
      <c r="S44" s="108">
        <f t="shared" si="13"/>
      </c>
      <c r="T44" s="86"/>
      <c r="U44" s="112" t="s">
        <v>68</v>
      </c>
      <c r="V44" s="108">
        <f t="shared" si="14"/>
      </c>
      <c r="W44" s="86"/>
      <c r="X44" s="112" t="s">
        <v>68</v>
      </c>
      <c r="Y44" s="108">
        <f t="shared" si="15"/>
      </c>
      <c r="Z44" s="86"/>
      <c r="AA44" s="112" t="s">
        <v>68</v>
      </c>
      <c r="AB44" s="108">
        <f t="shared" si="16"/>
      </c>
      <c r="AC44" s="86"/>
      <c r="AD44" s="112" t="s">
        <v>68</v>
      </c>
      <c r="AE44" s="108">
        <f t="shared" si="17"/>
      </c>
      <c r="AF44" s="86"/>
      <c r="AG44" s="86"/>
      <c r="AH44" s="86"/>
      <c r="AI44" s="86"/>
    </row>
    <row r="45" spans="2:35" ht="13.5" outlineLevel="2" thickBot="1">
      <c r="B45" s="24" t="str">
        <f t="shared" si="9"/>
        <v>E</v>
      </c>
      <c r="C45" s="25">
        <f t="shared" si="10"/>
        <v>3</v>
      </c>
      <c r="D45" s="26">
        <f t="shared" si="18"/>
        <v>7</v>
      </c>
      <c r="E45" s="14" t="s">
        <v>96</v>
      </c>
      <c r="F45" s="15"/>
      <c r="G45" s="588">
        <v>10</v>
      </c>
      <c r="H45" s="589"/>
      <c r="I45" s="86"/>
      <c r="J45" s="157">
        <v>0</v>
      </c>
      <c r="K45" s="69">
        <v>1</v>
      </c>
      <c r="L45" s="104" t="s">
        <v>71</v>
      </c>
      <c r="M45" s="108">
        <f t="shared" si="11"/>
        <v>0</v>
      </c>
      <c r="N45" s="86"/>
      <c r="O45" s="112" t="s">
        <v>68</v>
      </c>
      <c r="P45" s="108">
        <f t="shared" si="12"/>
      </c>
      <c r="Q45" s="86"/>
      <c r="R45" s="112" t="s">
        <v>71</v>
      </c>
      <c r="S45" s="108">
        <f t="shared" si="13"/>
      </c>
      <c r="T45" s="86"/>
      <c r="U45" s="112" t="s">
        <v>71</v>
      </c>
      <c r="V45" s="108">
        <f t="shared" si="14"/>
      </c>
      <c r="W45" s="86"/>
      <c r="X45" s="112" t="s">
        <v>71</v>
      </c>
      <c r="Y45" s="108">
        <f t="shared" si="15"/>
      </c>
      <c r="Z45" s="86"/>
      <c r="AA45" s="112" t="s">
        <v>68</v>
      </c>
      <c r="AB45" s="108">
        <f t="shared" si="16"/>
      </c>
      <c r="AC45" s="86"/>
      <c r="AD45" s="112" t="s">
        <v>71</v>
      </c>
      <c r="AE45" s="108">
        <f t="shared" si="17"/>
      </c>
      <c r="AF45" s="86"/>
      <c r="AG45" s="86"/>
      <c r="AH45" s="86"/>
      <c r="AI45" s="86"/>
    </row>
    <row r="46" spans="4:35" ht="3.75" customHeight="1" thickBot="1">
      <c r="D46" s="10"/>
      <c r="E46" s="3" t="s">
        <v>76</v>
      </c>
      <c r="F46" s="1"/>
      <c r="G46" s="1"/>
      <c r="H46" s="1"/>
      <c r="I46" s="86"/>
      <c r="J46" s="72"/>
      <c r="K46" s="72"/>
      <c r="L46" s="118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</row>
    <row r="47" spans="2:35" s="8" customFormat="1" ht="15.75">
      <c r="B47" s="56" t="s">
        <v>32</v>
      </c>
      <c r="C47" s="57"/>
      <c r="D47" s="58"/>
      <c r="E47" s="59" t="s">
        <v>38</v>
      </c>
      <c r="F47" s="125">
        <v>200</v>
      </c>
      <c r="G47" s="142">
        <f>IF(H47&gt;F47,F47,H47)</f>
        <v>200</v>
      </c>
      <c r="H47" s="141">
        <f>G48+G59</f>
        <v>255</v>
      </c>
      <c r="I47" s="85"/>
      <c r="J47" s="70"/>
      <c r="K47" s="70"/>
      <c r="L47" s="119"/>
      <c r="M47" s="109">
        <f>M48+M59</f>
        <v>90</v>
      </c>
      <c r="N47" s="85"/>
      <c r="O47" s="587">
        <f>IF(O48+O59&gt;$F47,$F47,O48+O59)</f>
        <v>200</v>
      </c>
      <c r="P47" s="586"/>
      <c r="Q47" s="85"/>
      <c r="R47" s="587">
        <f>IF(R48+R59&gt;$F47,$F47,R48+R59)</f>
        <v>140</v>
      </c>
      <c r="S47" s="586"/>
      <c r="T47" s="85"/>
      <c r="U47" s="587">
        <f>IF(U48+U59&gt;$F47,$F47,U48+U59)</f>
        <v>150</v>
      </c>
      <c r="V47" s="586"/>
      <c r="W47" s="85"/>
      <c r="X47" s="587">
        <f>IF(X48+X59&gt;$F47,$F47,X48+X59)</f>
        <v>190</v>
      </c>
      <c r="Y47" s="586"/>
      <c r="Z47" s="85"/>
      <c r="AA47" s="587">
        <f>IF(AA48+AA59&gt;$F47,$F47,AA48+AA59)</f>
        <v>190</v>
      </c>
      <c r="AB47" s="586"/>
      <c r="AC47" s="85"/>
      <c r="AD47" s="587">
        <f>IF(AD48+AD59&gt;$F47,$F47,AD48+AD59)</f>
        <v>150</v>
      </c>
      <c r="AE47" s="586"/>
      <c r="AF47" s="115"/>
      <c r="AG47" s="115"/>
      <c r="AH47" s="85"/>
      <c r="AI47" s="85"/>
    </row>
    <row r="48" spans="2:35" ht="12.75" outlineLevel="1">
      <c r="B48" s="52" t="str">
        <f aca="true" t="shared" si="19" ref="B48:B54">B$47</f>
        <v>B</v>
      </c>
      <c r="C48" s="53">
        <v>1</v>
      </c>
      <c r="D48" s="54"/>
      <c r="E48" s="55" t="s">
        <v>5</v>
      </c>
      <c r="F48" s="81">
        <v>175</v>
      </c>
      <c r="G48" s="144">
        <f>IF(H48&gt;F48,F48,H48)</f>
        <v>175</v>
      </c>
      <c r="H48" s="143">
        <f>SUMIF(L49:L58,"j",G49:G58)</f>
        <v>175</v>
      </c>
      <c r="I48" s="86"/>
      <c r="J48" s="69"/>
      <c r="K48" s="69"/>
      <c r="L48" s="117"/>
      <c r="M48" s="105">
        <f>SUM(M49:M58)</f>
        <v>90</v>
      </c>
      <c r="N48" s="86"/>
      <c r="O48" s="559">
        <f>IF(SUM(P49:P58)&gt;$F48,$F48,SUM(P49:P58))</f>
        <v>155</v>
      </c>
      <c r="P48" s="557"/>
      <c r="Q48" s="86"/>
      <c r="R48" s="559">
        <f>IF(SUM(S49:S58)&gt;$F48,$F48,SUM(S49:S58))</f>
        <v>90</v>
      </c>
      <c r="S48" s="557"/>
      <c r="T48" s="86"/>
      <c r="U48" s="559">
        <f>IF(SUM(V49:V58)&gt;$F48,$F48,SUM(V49:V58))</f>
        <v>100</v>
      </c>
      <c r="V48" s="557"/>
      <c r="W48" s="86"/>
      <c r="X48" s="559">
        <f>IF(SUM(Y49:Y58)&gt;$F48,$F48,SUM(Y49:Y58))</f>
        <v>140</v>
      </c>
      <c r="Y48" s="557"/>
      <c r="Z48" s="86"/>
      <c r="AA48" s="559">
        <f>IF(SUM(AB49:AB58)&gt;$F48,$F48,SUM(AB49:AB58))</f>
        <v>140</v>
      </c>
      <c r="AB48" s="557"/>
      <c r="AC48" s="86"/>
      <c r="AD48" s="559">
        <f>IF(SUM(AE49:AE58)&gt;$F48,$F48,SUM(AE49:AE58))</f>
        <v>100</v>
      </c>
      <c r="AE48" s="557"/>
      <c r="AF48" s="91"/>
      <c r="AG48" s="91"/>
      <c r="AH48" s="86"/>
      <c r="AI48" s="86"/>
    </row>
    <row r="49" spans="2:35" ht="12.75" outlineLevel="2">
      <c r="B49" s="20" t="str">
        <f t="shared" si="19"/>
        <v>B</v>
      </c>
      <c r="C49" s="21">
        <f aca="true" t="shared" si="20" ref="C49:C54">C$48</f>
        <v>1</v>
      </c>
      <c r="D49" s="23">
        <v>1</v>
      </c>
      <c r="E49" s="13" t="s">
        <v>18</v>
      </c>
      <c r="F49" s="12" t="s">
        <v>9</v>
      </c>
      <c r="G49" s="590">
        <v>40</v>
      </c>
      <c r="H49" s="591"/>
      <c r="I49" s="86"/>
      <c r="J49" s="69">
        <v>3</v>
      </c>
      <c r="K49" s="69">
        <v>3</v>
      </c>
      <c r="L49" s="104" t="s">
        <v>68</v>
      </c>
      <c r="M49" s="108">
        <f aca="true" t="shared" si="21" ref="M49:M58">IF(AND($F49=M$4,$L49="j"),$G49,0)</f>
        <v>40</v>
      </c>
      <c r="N49" s="86"/>
      <c r="O49" s="112" t="s">
        <v>68</v>
      </c>
      <c r="P49" s="108">
        <f aca="true" t="shared" si="22" ref="P49:P57">IF(AND(O49="j",$L49="j"),$G49,"")</f>
        <v>40</v>
      </c>
      <c r="Q49" s="86"/>
      <c r="R49" s="112" t="s">
        <v>68</v>
      </c>
      <c r="S49" s="108">
        <f aca="true" t="shared" si="23" ref="S49:S58">IF(AND(R49="j",$L49="j"),$G49,"")</f>
        <v>40</v>
      </c>
      <c r="T49" s="86"/>
      <c r="U49" s="112" t="s">
        <v>68</v>
      </c>
      <c r="V49" s="108">
        <f aca="true" t="shared" si="24" ref="V49:V58">IF(AND(U49="j",$L49="j"),$G49,"")</f>
        <v>40</v>
      </c>
      <c r="W49" s="86"/>
      <c r="X49" s="112" t="s">
        <v>68</v>
      </c>
      <c r="Y49" s="108">
        <f aca="true" t="shared" si="25" ref="Y49:Y58">IF(AND(X49="j",$L49="j"),$G49,"")</f>
        <v>40</v>
      </c>
      <c r="Z49" s="86"/>
      <c r="AA49" s="112" t="s">
        <v>68</v>
      </c>
      <c r="AB49" s="108">
        <f aca="true" t="shared" si="26" ref="AB49:AB58">IF(AND(AA49="j",$L49="j"),$G49,"")</f>
        <v>40</v>
      </c>
      <c r="AC49" s="86"/>
      <c r="AD49" s="112" t="s">
        <v>68</v>
      </c>
      <c r="AE49" s="108">
        <f aca="true" t="shared" si="27" ref="AE49:AE58">IF(AND(AD49="j",$L49="j"),$G49,"")</f>
        <v>40</v>
      </c>
      <c r="AF49" s="86"/>
      <c r="AG49" s="86"/>
      <c r="AH49" s="86"/>
      <c r="AI49" s="86"/>
    </row>
    <row r="50" spans="2:35" ht="25.5" outlineLevel="2">
      <c r="B50" s="20" t="str">
        <f t="shared" si="19"/>
        <v>B</v>
      </c>
      <c r="C50" s="21">
        <f t="shared" si="20"/>
        <v>1</v>
      </c>
      <c r="D50" s="23">
        <f aca="true" t="shared" si="28" ref="D50:D58">D49+1</f>
        <v>2</v>
      </c>
      <c r="E50" s="13" t="s">
        <v>97</v>
      </c>
      <c r="F50" s="12"/>
      <c r="G50" s="590">
        <v>10</v>
      </c>
      <c r="H50" s="591"/>
      <c r="I50" s="86"/>
      <c r="J50" s="157">
        <v>0</v>
      </c>
      <c r="K50" s="69">
        <v>1</v>
      </c>
      <c r="L50" s="104" t="s">
        <v>68</v>
      </c>
      <c r="M50" s="108">
        <f t="shared" si="21"/>
        <v>0</v>
      </c>
      <c r="N50" s="86"/>
      <c r="O50" s="112" t="s">
        <v>71</v>
      </c>
      <c r="P50" s="108">
        <f t="shared" si="22"/>
      </c>
      <c r="Q50" s="86"/>
      <c r="R50" s="112" t="s">
        <v>71</v>
      </c>
      <c r="S50" s="108">
        <f t="shared" si="23"/>
      </c>
      <c r="T50" s="86"/>
      <c r="U50" s="112" t="s">
        <v>71</v>
      </c>
      <c r="V50" s="108">
        <f t="shared" si="24"/>
      </c>
      <c r="W50" s="86"/>
      <c r="X50" s="112" t="s">
        <v>71</v>
      </c>
      <c r="Y50" s="108">
        <f t="shared" si="25"/>
      </c>
      <c r="Z50" s="86"/>
      <c r="AA50" s="112" t="s">
        <v>71</v>
      </c>
      <c r="AB50" s="108">
        <f t="shared" si="26"/>
      </c>
      <c r="AC50" s="86"/>
      <c r="AD50" s="112" t="s">
        <v>71</v>
      </c>
      <c r="AE50" s="108">
        <f t="shared" si="27"/>
      </c>
      <c r="AF50" s="86"/>
      <c r="AG50" s="86"/>
      <c r="AH50" s="86"/>
      <c r="AI50" s="86"/>
    </row>
    <row r="51" spans="2:35" ht="12.75" outlineLevel="2">
      <c r="B51" s="20" t="str">
        <f t="shared" si="19"/>
        <v>B</v>
      </c>
      <c r="C51" s="21">
        <f t="shared" si="20"/>
        <v>1</v>
      </c>
      <c r="D51" s="23">
        <f>D49+1</f>
        <v>2</v>
      </c>
      <c r="E51" s="13" t="s">
        <v>82</v>
      </c>
      <c r="F51" s="12" t="s">
        <v>9</v>
      </c>
      <c r="G51" s="590">
        <v>15</v>
      </c>
      <c r="H51" s="591"/>
      <c r="I51" s="86"/>
      <c r="J51" s="69">
        <v>2</v>
      </c>
      <c r="K51" s="69">
        <v>3</v>
      </c>
      <c r="L51" s="104" t="s">
        <v>68</v>
      </c>
      <c r="M51" s="108">
        <f t="shared" si="21"/>
        <v>15</v>
      </c>
      <c r="N51" s="86"/>
      <c r="O51" s="112" t="s">
        <v>68</v>
      </c>
      <c r="P51" s="108">
        <f t="shared" si="22"/>
        <v>15</v>
      </c>
      <c r="Q51" s="86"/>
      <c r="R51" s="112" t="s">
        <v>68</v>
      </c>
      <c r="S51" s="108">
        <f t="shared" si="23"/>
        <v>15</v>
      </c>
      <c r="T51" s="86"/>
      <c r="U51" s="112" t="s">
        <v>68</v>
      </c>
      <c r="V51" s="108">
        <f t="shared" si="24"/>
        <v>15</v>
      </c>
      <c r="W51" s="86"/>
      <c r="X51" s="112" t="s">
        <v>68</v>
      </c>
      <c r="Y51" s="108">
        <f t="shared" si="25"/>
        <v>15</v>
      </c>
      <c r="Z51" s="86"/>
      <c r="AA51" s="112" t="s">
        <v>68</v>
      </c>
      <c r="AB51" s="108">
        <f t="shared" si="26"/>
        <v>15</v>
      </c>
      <c r="AC51" s="86"/>
      <c r="AD51" s="112" t="s">
        <v>68</v>
      </c>
      <c r="AE51" s="108">
        <f t="shared" si="27"/>
        <v>15</v>
      </c>
      <c r="AF51" s="86"/>
      <c r="AG51" s="86"/>
      <c r="AH51" s="86"/>
      <c r="AI51" s="86"/>
    </row>
    <row r="52" spans="2:35" ht="38.25" outlineLevel="2">
      <c r="B52" s="20" t="str">
        <f t="shared" si="19"/>
        <v>B</v>
      </c>
      <c r="C52" s="21">
        <f t="shared" si="20"/>
        <v>1</v>
      </c>
      <c r="D52" s="23">
        <f>D50+1</f>
        <v>3</v>
      </c>
      <c r="E52" s="13" t="s">
        <v>83</v>
      </c>
      <c r="F52" s="12" t="s">
        <v>9</v>
      </c>
      <c r="G52" s="590">
        <v>15</v>
      </c>
      <c r="H52" s="591"/>
      <c r="I52" s="86"/>
      <c r="J52" s="69">
        <v>2</v>
      </c>
      <c r="K52" s="69">
        <v>3</v>
      </c>
      <c r="L52" s="104" t="s">
        <v>68</v>
      </c>
      <c r="M52" s="108">
        <f t="shared" si="21"/>
        <v>15</v>
      </c>
      <c r="N52" s="86"/>
      <c r="O52" s="112" t="s">
        <v>68</v>
      </c>
      <c r="P52" s="108">
        <f t="shared" si="22"/>
        <v>15</v>
      </c>
      <c r="Q52" s="86"/>
      <c r="R52" s="112" t="s">
        <v>68</v>
      </c>
      <c r="S52" s="108">
        <f t="shared" si="23"/>
        <v>15</v>
      </c>
      <c r="T52" s="86"/>
      <c r="U52" s="112" t="s">
        <v>68</v>
      </c>
      <c r="V52" s="108">
        <f t="shared" si="24"/>
        <v>15</v>
      </c>
      <c r="W52" s="86"/>
      <c r="X52" s="112" t="s">
        <v>68</v>
      </c>
      <c r="Y52" s="108">
        <f t="shared" si="25"/>
        <v>15</v>
      </c>
      <c r="Z52" s="86"/>
      <c r="AA52" s="112" t="s">
        <v>68</v>
      </c>
      <c r="AB52" s="108">
        <f t="shared" si="26"/>
        <v>15</v>
      </c>
      <c r="AC52" s="86"/>
      <c r="AD52" s="112" t="s">
        <v>68</v>
      </c>
      <c r="AE52" s="108">
        <f t="shared" si="27"/>
        <v>15</v>
      </c>
      <c r="AF52" s="86"/>
      <c r="AG52" s="86"/>
      <c r="AH52" s="86"/>
      <c r="AI52" s="86"/>
    </row>
    <row r="53" spans="2:35" ht="12.75" outlineLevel="2">
      <c r="B53" s="20" t="str">
        <f t="shared" si="19"/>
        <v>B</v>
      </c>
      <c r="C53" s="21">
        <f t="shared" si="20"/>
        <v>1</v>
      </c>
      <c r="D53" s="23">
        <f t="shared" si="28"/>
        <v>4</v>
      </c>
      <c r="E53" s="13" t="s">
        <v>33</v>
      </c>
      <c r="F53" s="12"/>
      <c r="G53" s="590">
        <v>10</v>
      </c>
      <c r="H53" s="591"/>
      <c r="I53" s="86"/>
      <c r="J53" s="69">
        <v>2</v>
      </c>
      <c r="K53" s="69">
        <v>2</v>
      </c>
      <c r="L53" s="104" t="s">
        <v>68</v>
      </c>
      <c r="M53" s="108">
        <f t="shared" si="21"/>
        <v>0</v>
      </c>
      <c r="N53" s="86"/>
      <c r="O53" s="112" t="s">
        <v>68</v>
      </c>
      <c r="P53" s="108">
        <f t="shared" si="22"/>
        <v>10</v>
      </c>
      <c r="Q53" s="86"/>
      <c r="R53" s="112" t="s">
        <v>71</v>
      </c>
      <c r="S53" s="108">
        <f t="shared" si="23"/>
      </c>
      <c r="T53" s="86"/>
      <c r="U53" s="112" t="s">
        <v>71</v>
      </c>
      <c r="V53" s="108">
        <f t="shared" si="24"/>
      </c>
      <c r="W53" s="86"/>
      <c r="X53" s="112" t="s">
        <v>68</v>
      </c>
      <c r="Y53" s="108">
        <f t="shared" si="25"/>
        <v>10</v>
      </c>
      <c r="Z53" s="86"/>
      <c r="AA53" s="112" t="s">
        <v>68</v>
      </c>
      <c r="AB53" s="108">
        <f t="shared" si="26"/>
        <v>10</v>
      </c>
      <c r="AC53" s="86"/>
      <c r="AD53" s="112" t="s">
        <v>71</v>
      </c>
      <c r="AE53" s="108">
        <f t="shared" si="27"/>
      </c>
      <c r="AF53" s="86"/>
      <c r="AG53" s="86"/>
      <c r="AH53" s="86"/>
      <c r="AI53" s="86"/>
    </row>
    <row r="54" spans="2:35" ht="12.75" outlineLevel="2">
      <c r="B54" s="20" t="str">
        <f t="shared" si="19"/>
        <v>B</v>
      </c>
      <c r="C54" s="21">
        <f t="shared" si="20"/>
        <v>1</v>
      </c>
      <c r="D54" s="23">
        <f t="shared" si="28"/>
        <v>5</v>
      </c>
      <c r="E54" s="13" t="s">
        <v>34</v>
      </c>
      <c r="F54" s="12"/>
      <c r="G54" s="590">
        <v>10</v>
      </c>
      <c r="H54" s="591"/>
      <c r="I54" s="86"/>
      <c r="J54" s="69">
        <v>2</v>
      </c>
      <c r="K54" s="69">
        <v>2</v>
      </c>
      <c r="L54" s="104" t="s">
        <v>68</v>
      </c>
      <c r="M54" s="108">
        <f t="shared" si="21"/>
        <v>0</v>
      </c>
      <c r="N54" s="86"/>
      <c r="O54" s="112" t="s">
        <v>68</v>
      </c>
      <c r="P54" s="108">
        <f t="shared" si="22"/>
        <v>10</v>
      </c>
      <c r="Q54" s="86"/>
      <c r="R54" s="112" t="s">
        <v>71</v>
      </c>
      <c r="S54" s="108">
        <f t="shared" si="23"/>
      </c>
      <c r="T54" s="86"/>
      <c r="U54" s="112" t="s">
        <v>71</v>
      </c>
      <c r="V54" s="108">
        <f t="shared" si="24"/>
      </c>
      <c r="W54" s="86"/>
      <c r="X54" s="112" t="s">
        <v>71</v>
      </c>
      <c r="Y54" s="108">
        <f t="shared" si="25"/>
      </c>
      <c r="Z54" s="86"/>
      <c r="AA54" s="112" t="s">
        <v>71</v>
      </c>
      <c r="AB54" s="108">
        <f t="shared" si="26"/>
      </c>
      <c r="AC54" s="86"/>
      <c r="AD54" s="112" t="s">
        <v>71</v>
      </c>
      <c r="AE54" s="108">
        <f t="shared" si="27"/>
      </c>
      <c r="AF54" s="86"/>
      <c r="AG54" s="86"/>
      <c r="AH54" s="86"/>
      <c r="AI54" s="86"/>
    </row>
    <row r="55" spans="2:35" ht="12.75" outlineLevel="2">
      <c r="B55" s="20" t="s">
        <v>32</v>
      </c>
      <c r="C55" s="21" t="s">
        <v>55</v>
      </c>
      <c r="D55" s="23">
        <f t="shared" si="28"/>
        <v>6</v>
      </c>
      <c r="E55" s="13" t="s">
        <v>66</v>
      </c>
      <c r="F55" s="12"/>
      <c r="G55" s="590">
        <v>15</v>
      </c>
      <c r="H55" s="591"/>
      <c r="I55" s="86"/>
      <c r="J55" s="69">
        <v>2</v>
      </c>
      <c r="K55" s="69"/>
      <c r="L55" s="104" t="s">
        <v>68</v>
      </c>
      <c r="M55" s="108">
        <f t="shared" si="21"/>
        <v>0</v>
      </c>
      <c r="N55" s="86"/>
      <c r="O55" s="112" t="s">
        <v>68</v>
      </c>
      <c r="P55" s="108">
        <f t="shared" si="22"/>
        <v>15</v>
      </c>
      <c r="Q55" s="86"/>
      <c r="R55" s="112" t="s">
        <v>71</v>
      </c>
      <c r="S55" s="108">
        <f t="shared" si="23"/>
      </c>
      <c r="T55" s="86"/>
      <c r="U55" s="112" t="s">
        <v>71</v>
      </c>
      <c r="V55" s="108">
        <f t="shared" si="24"/>
      </c>
      <c r="W55" s="86"/>
      <c r="X55" s="112" t="s">
        <v>71</v>
      </c>
      <c r="Y55" s="108">
        <f t="shared" si="25"/>
      </c>
      <c r="Z55" s="86"/>
      <c r="AA55" s="112" t="s">
        <v>71</v>
      </c>
      <c r="AB55" s="108">
        <f t="shared" si="26"/>
      </c>
      <c r="AC55" s="86"/>
      <c r="AD55" s="112" t="s">
        <v>71</v>
      </c>
      <c r="AE55" s="108">
        <f t="shared" si="27"/>
      </c>
      <c r="AF55" s="86"/>
      <c r="AG55" s="86"/>
      <c r="AH55" s="86"/>
      <c r="AI55" s="86"/>
    </row>
    <row r="56" spans="2:35" ht="12.75" outlineLevel="2">
      <c r="B56" s="20" t="str">
        <f>B$47</f>
        <v>B</v>
      </c>
      <c r="C56" s="21">
        <f>C$48</f>
        <v>1</v>
      </c>
      <c r="D56" s="23">
        <f t="shared" si="28"/>
        <v>7</v>
      </c>
      <c r="E56" s="13" t="s">
        <v>98</v>
      </c>
      <c r="F56" s="12"/>
      <c r="G56" s="590">
        <v>10</v>
      </c>
      <c r="H56" s="591"/>
      <c r="I56" s="86"/>
      <c r="J56" s="69">
        <v>2</v>
      </c>
      <c r="K56" s="69">
        <v>2</v>
      </c>
      <c r="L56" s="104" t="s">
        <v>68</v>
      </c>
      <c r="M56" s="108">
        <f t="shared" si="21"/>
        <v>0</v>
      </c>
      <c r="N56" s="86"/>
      <c r="O56" s="112" t="s">
        <v>68</v>
      </c>
      <c r="P56" s="108">
        <f t="shared" si="22"/>
        <v>10</v>
      </c>
      <c r="Q56" s="86"/>
      <c r="R56" s="112" t="s">
        <v>71</v>
      </c>
      <c r="S56" s="108">
        <f t="shared" si="23"/>
      </c>
      <c r="T56" s="86"/>
      <c r="U56" s="112" t="s">
        <v>68</v>
      </c>
      <c r="V56" s="108">
        <f t="shared" si="24"/>
        <v>10</v>
      </c>
      <c r="W56" s="86"/>
      <c r="X56" s="112" t="s">
        <v>68</v>
      </c>
      <c r="Y56" s="108">
        <f t="shared" si="25"/>
        <v>10</v>
      </c>
      <c r="Z56" s="86"/>
      <c r="AA56" s="112" t="s">
        <v>68</v>
      </c>
      <c r="AB56" s="108">
        <f t="shared" si="26"/>
        <v>10</v>
      </c>
      <c r="AC56" s="86"/>
      <c r="AD56" s="112" t="s">
        <v>68</v>
      </c>
      <c r="AE56" s="108">
        <f t="shared" si="27"/>
        <v>10</v>
      </c>
      <c r="AF56" s="86"/>
      <c r="AG56" s="86"/>
      <c r="AH56" s="86"/>
      <c r="AI56" s="86"/>
    </row>
    <row r="57" spans="2:35" ht="25.5" outlineLevel="2">
      <c r="B57" s="20" t="str">
        <f>B$47</f>
        <v>B</v>
      </c>
      <c r="C57" s="21">
        <f>C$48</f>
        <v>1</v>
      </c>
      <c r="D57" s="23">
        <f t="shared" si="28"/>
        <v>8</v>
      </c>
      <c r="E57" s="13" t="s">
        <v>35</v>
      </c>
      <c r="F57" s="12" t="s">
        <v>9</v>
      </c>
      <c r="G57" s="590">
        <v>20</v>
      </c>
      <c r="H57" s="591"/>
      <c r="I57" s="86"/>
      <c r="J57" s="69">
        <v>3</v>
      </c>
      <c r="K57" s="69">
        <v>3</v>
      </c>
      <c r="L57" s="104" t="s">
        <v>68</v>
      </c>
      <c r="M57" s="108">
        <f t="shared" si="21"/>
        <v>20</v>
      </c>
      <c r="N57" s="86"/>
      <c r="O57" s="112" t="s">
        <v>68</v>
      </c>
      <c r="P57" s="108">
        <f t="shared" si="22"/>
        <v>20</v>
      </c>
      <c r="Q57" s="86"/>
      <c r="R57" s="112" t="s">
        <v>68</v>
      </c>
      <c r="S57" s="108">
        <f t="shared" si="23"/>
        <v>20</v>
      </c>
      <c r="T57" s="86"/>
      <c r="U57" s="112" t="s">
        <v>68</v>
      </c>
      <c r="V57" s="108">
        <f t="shared" si="24"/>
        <v>20</v>
      </c>
      <c r="W57" s="86"/>
      <c r="X57" s="112" t="s">
        <v>68</v>
      </c>
      <c r="Y57" s="108">
        <f t="shared" si="25"/>
        <v>20</v>
      </c>
      <c r="Z57" s="86"/>
      <c r="AA57" s="112" t="s">
        <v>68</v>
      </c>
      <c r="AB57" s="108">
        <f t="shared" si="26"/>
        <v>20</v>
      </c>
      <c r="AC57" s="86"/>
      <c r="AD57" s="112" t="s">
        <v>68</v>
      </c>
      <c r="AE57" s="108">
        <f t="shared" si="27"/>
        <v>20</v>
      </c>
      <c r="AF57" s="86"/>
      <c r="AG57" s="86"/>
      <c r="AH57" s="86"/>
      <c r="AI57" s="86"/>
    </row>
    <row r="58" spans="2:35" ht="25.5" outlineLevel="2">
      <c r="B58" s="20" t="str">
        <f>B$47</f>
        <v>B</v>
      </c>
      <c r="C58" s="21">
        <f>C$48</f>
        <v>1</v>
      </c>
      <c r="D58" s="23">
        <f t="shared" si="28"/>
        <v>9</v>
      </c>
      <c r="E58" s="13" t="s">
        <v>99</v>
      </c>
      <c r="F58" s="12"/>
      <c r="G58" s="590">
        <v>30</v>
      </c>
      <c r="H58" s="591"/>
      <c r="I58" s="86"/>
      <c r="J58" s="157">
        <v>0</v>
      </c>
      <c r="K58" s="69">
        <v>3</v>
      </c>
      <c r="L58" s="104" t="s">
        <v>68</v>
      </c>
      <c r="M58" s="108">
        <f t="shared" si="21"/>
        <v>0</v>
      </c>
      <c r="N58" s="86"/>
      <c r="O58" s="112" t="s">
        <v>68</v>
      </c>
      <c r="P58" s="124">
        <v>20</v>
      </c>
      <c r="Q58" s="86"/>
      <c r="R58" s="112" t="s">
        <v>71</v>
      </c>
      <c r="S58" s="108">
        <f t="shared" si="23"/>
      </c>
      <c r="T58" s="86"/>
      <c r="U58" s="112" t="s">
        <v>71</v>
      </c>
      <c r="V58" s="108">
        <f t="shared" si="24"/>
      </c>
      <c r="W58" s="86"/>
      <c r="X58" s="112" t="s">
        <v>68</v>
      </c>
      <c r="Y58" s="108">
        <f t="shared" si="25"/>
        <v>30</v>
      </c>
      <c r="Z58" s="86"/>
      <c r="AA58" s="112" t="s">
        <v>68</v>
      </c>
      <c r="AB58" s="108">
        <f t="shared" si="26"/>
        <v>30</v>
      </c>
      <c r="AC58" s="86"/>
      <c r="AD58" s="112" t="s">
        <v>71</v>
      </c>
      <c r="AE58" s="108">
        <f t="shared" si="27"/>
      </c>
      <c r="AF58" s="86"/>
      <c r="AG58" s="86"/>
      <c r="AH58" s="86"/>
      <c r="AI58" s="86"/>
    </row>
    <row r="59" spans="2:35" ht="12.75" outlineLevel="1">
      <c r="B59" s="36" t="str">
        <f>B$47</f>
        <v>B</v>
      </c>
      <c r="C59" s="37">
        <v>2</v>
      </c>
      <c r="D59" s="28"/>
      <c r="E59" s="17" t="s">
        <v>19</v>
      </c>
      <c r="F59" s="81">
        <v>80</v>
      </c>
      <c r="G59" s="146">
        <f>IF(H59&gt;F59,F59,H59)</f>
        <v>80</v>
      </c>
      <c r="H59" s="145">
        <f>SUMIF(L60,"j",G60)</f>
        <v>80</v>
      </c>
      <c r="I59" s="90"/>
      <c r="J59" s="69"/>
      <c r="K59" s="69"/>
      <c r="L59" s="117"/>
      <c r="M59" s="106">
        <f>M60</f>
        <v>0</v>
      </c>
      <c r="N59" s="90"/>
      <c r="O59" s="596">
        <f>IF(P60&gt;$F59,$F59,P60)</f>
        <v>50</v>
      </c>
      <c r="P59" s="597"/>
      <c r="Q59" s="90"/>
      <c r="R59" s="596">
        <f>IF(S60&gt;$F59,$F59,S60)</f>
        <v>50</v>
      </c>
      <c r="S59" s="597"/>
      <c r="T59" s="90"/>
      <c r="U59" s="596">
        <f>IF(V60&gt;$F59,$F59,V60)</f>
        <v>50</v>
      </c>
      <c r="V59" s="597"/>
      <c r="W59" s="90"/>
      <c r="X59" s="596">
        <f>IF(Y60&gt;$F59,$F59,Y60)</f>
        <v>50</v>
      </c>
      <c r="Y59" s="597"/>
      <c r="Z59" s="90"/>
      <c r="AA59" s="596">
        <f>IF(AB60&gt;$F59,$F59,AB60)</f>
        <v>50</v>
      </c>
      <c r="AB59" s="597"/>
      <c r="AC59" s="90"/>
      <c r="AD59" s="596">
        <f>IF(AE60&gt;$F59,$F59,AE60)</f>
        <v>50</v>
      </c>
      <c r="AE59" s="597"/>
      <c r="AF59" s="116"/>
      <c r="AG59" s="116"/>
      <c r="AH59" s="90"/>
      <c r="AI59" s="90"/>
    </row>
    <row r="60" spans="2:35" ht="16.5" outlineLevel="2" thickBot="1">
      <c r="B60" s="24" t="str">
        <f>B$47</f>
        <v>B</v>
      </c>
      <c r="C60" s="25">
        <f>C$59</f>
        <v>2</v>
      </c>
      <c r="D60" s="26">
        <v>1</v>
      </c>
      <c r="E60" s="14" t="s">
        <v>100</v>
      </c>
      <c r="F60" s="15"/>
      <c r="G60" s="588">
        <v>80</v>
      </c>
      <c r="H60" s="589"/>
      <c r="I60" s="86"/>
      <c r="J60" s="69">
        <v>3</v>
      </c>
      <c r="K60" s="69">
        <v>3</v>
      </c>
      <c r="L60" s="104" t="s">
        <v>68</v>
      </c>
      <c r="M60" s="108">
        <f>IF(AND($F60=M$4,$L60="j"),$G60,0)</f>
        <v>0</v>
      </c>
      <c r="N60" s="86"/>
      <c r="O60" s="112" t="s">
        <v>68</v>
      </c>
      <c r="P60" s="112">
        <v>50</v>
      </c>
      <c r="Q60" s="86"/>
      <c r="R60" s="112" t="s">
        <v>68</v>
      </c>
      <c r="S60" s="112">
        <v>50</v>
      </c>
      <c r="T60" s="86"/>
      <c r="U60" s="112" t="s">
        <v>68</v>
      </c>
      <c r="V60" s="112">
        <v>50</v>
      </c>
      <c r="W60" s="86"/>
      <c r="X60" s="112" t="s">
        <v>68</v>
      </c>
      <c r="Y60" s="112">
        <v>50</v>
      </c>
      <c r="Z60" s="86"/>
      <c r="AA60" s="112" t="s">
        <v>68</v>
      </c>
      <c r="AB60" s="112">
        <v>50</v>
      </c>
      <c r="AC60" s="86"/>
      <c r="AD60" s="112" t="s">
        <v>68</v>
      </c>
      <c r="AE60" s="112">
        <v>50</v>
      </c>
      <c r="AF60" s="97"/>
      <c r="AG60" s="97"/>
      <c r="AH60" s="86"/>
      <c r="AI60" s="86"/>
    </row>
    <row r="61" spans="4:35" ht="3.75" customHeight="1" thickBot="1">
      <c r="D61" s="10"/>
      <c r="E61" s="2"/>
      <c r="F61" s="1"/>
      <c r="G61" s="1"/>
      <c r="H61" s="1"/>
      <c r="I61" s="86"/>
      <c r="J61" s="72"/>
      <c r="K61" s="72"/>
      <c r="L61" s="118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35" s="7" customFormat="1" ht="15.75">
      <c r="B62" s="64" t="s">
        <v>31</v>
      </c>
      <c r="C62" s="65"/>
      <c r="D62" s="66"/>
      <c r="E62" s="67" t="s">
        <v>0</v>
      </c>
      <c r="F62" s="82">
        <v>150</v>
      </c>
      <c r="G62" s="148">
        <f>IF(H62&gt;F62,F62,H62)</f>
        <v>150</v>
      </c>
      <c r="H62" s="147">
        <f>G63+G67+G81+G77</f>
        <v>220</v>
      </c>
      <c r="I62" s="85"/>
      <c r="J62" s="71"/>
      <c r="K62" s="71"/>
      <c r="L62" s="119"/>
      <c r="M62" s="109">
        <f>M63+M67+M77+M81</f>
        <v>30</v>
      </c>
      <c r="N62" s="85"/>
      <c r="O62" s="587">
        <f>IF(O63+O67+O77+O81&gt;$F62,$F62,O63+O67+O77+O81)</f>
        <v>150</v>
      </c>
      <c r="P62" s="586"/>
      <c r="Q62" s="85"/>
      <c r="R62" s="587">
        <f>IF(R63+R67+R77+R81&gt;$F62,$F62,R63+R67+R77+R81)</f>
        <v>130</v>
      </c>
      <c r="S62" s="586"/>
      <c r="T62" s="85"/>
      <c r="U62" s="587">
        <f>IF(U63+U67+U77+U81&gt;$F62,$F62,U63+U67+U77+U81)</f>
        <v>150</v>
      </c>
      <c r="V62" s="586"/>
      <c r="W62" s="85"/>
      <c r="X62" s="587">
        <f>IF(X63+X67+X77+X81&gt;$F62,$F62,X63+X67+X77+X81)</f>
        <v>145</v>
      </c>
      <c r="Y62" s="586"/>
      <c r="Z62" s="85"/>
      <c r="AA62" s="587">
        <f>IF(AA63+AA67+AA77+AA81&gt;$F62,$F62,AA63+AA67+AA77+AA81)</f>
        <v>140</v>
      </c>
      <c r="AB62" s="586"/>
      <c r="AC62" s="85"/>
      <c r="AD62" s="587">
        <f>IF(AD63+AD67+AD77+AD81&gt;$F62,$F62,AD63+AD67+AD77+AD81)</f>
        <v>70</v>
      </c>
      <c r="AE62" s="586"/>
      <c r="AF62" s="115"/>
      <c r="AG62" s="115"/>
      <c r="AH62" s="85"/>
      <c r="AI62" s="85"/>
    </row>
    <row r="63" spans="2:35" ht="12.75" outlineLevel="1">
      <c r="B63" s="60" t="str">
        <f aca="true" t="shared" si="29" ref="B63:B73">B62</f>
        <v>G</v>
      </c>
      <c r="C63" s="61">
        <v>1</v>
      </c>
      <c r="D63" s="62"/>
      <c r="E63" s="63" t="s">
        <v>1</v>
      </c>
      <c r="F63" s="83">
        <v>35</v>
      </c>
      <c r="G63" s="150">
        <f>IF(H63&gt;F63,F63,H63)</f>
        <v>30</v>
      </c>
      <c r="H63" s="149">
        <f>SUMIF(L64:L66,"j",G64:G66)</f>
        <v>30</v>
      </c>
      <c r="I63" s="91"/>
      <c r="J63" s="69"/>
      <c r="K63" s="69"/>
      <c r="L63" s="117"/>
      <c r="M63" s="105">
        <f>SUM(M64:M66)</f>
        <v>15</v>
      </c>
      <c r="N63" s="91"/>
      <c r="O63" s="559">
        <f>IF(SUM(P64:P66)&gt;$F63,$F63,SUM(P64:P66))</f>
        <v>30</v>
      </c>
      <c r="P63" s="557"/>
      <c r="Q63" s="91"/>
      <c r="R63" s="559">
        <f>IF(SUM(S64:S66)&gt;$F63,$F63,SUM(S64:S66))</f>
        <v>20</v>
      </c>
      <c r="S63" s="557"/>
      <c r="T63" s="91"/>
      <c r="U63" s="559">
        <f>IF(SUM(V64:V66)&gt;$F63,$F63,SUM(V64:V66))</f>
        <v>20</v>
      </c>
      <c r="V63" s="557"/>
      <c r="W63" s="91"/>
      <c r="X63" s="559">
        <f>IF(SUM(Y64:Y66)&gt;$F63,$F63,SUM(Y64:Y66))</f>
        <v>30</v>
      </c>
      <c r="Y63" s="557"/>
      <c r="Z63" s="91"/>
      <c r="AA63" s="559">
        <f>IF(SUM(AB64:AB66)&gt;$F63,$F63,SUM(AB64:AB66))</f>
        <v>25</v>
      </c>
      <c r="AB63" s="557"/>
      <c r="AC63" s="91"/>
      <c r="AD63" s="559">
        <f>IF(SUM(AE64:AE66)&gt;$F63,$F63,SUM(AE64:AE66))</f>
        <v>15</v>
      </c>
      <c r="AE63" s="557"/>
      <c r="AF63" s="91"/>
      <c r="AG63" s="91"/>
      <c r="AH63" s="91"/>
      <c r="AI63" s="91"/>
    </row>
    <row r="64" spans="2:35" ht="12.75" outlineLevel="2">
      <c r="B64" s="20" t="str">
        <f t="shared" si="29"/>
        <v>G</v>
      </c>
      <c r="C64" s="21">
        <f>C$63</f>
        <v>1</v>
      </c>
      <c r="D64" s="23">
        <v>1</v>
      </c>
      <c r="E64" s="13" t="s">
        <v>78</v>
      </c>
      <c r="F64" s="12"/>
      <c r="G64" s="590">
        <v>5</v>
      </c>
      <c r="H64" s="591"/>
      <c r="I64" s="86"/>
      <c r="J64" s="69">
        <v>3</v>
      </c>
      <c r="K64" s="69">
        <v>3</v>
      </c>
      <c r="L64" s="104" t="s">
        <v>68</v>
      </c>
      <c r="M64" s="108">
        <f>IF(AND($F64=M$4,$L64="j"),$G64,0)</f>
        <v>0</v>
      </c>
      <c r="N64" s="86"/>
      <c r="O64" s="112" t="s">
        <v>68</v>
      </c>
      <c r="P64" s="108">
        <f>IF(AND(O64="j",$L64="j"),$G64,"")</f>
        <v>5</v>
      </c>
      <c r="Q64" s="86"/>
      <c r="R64" s="112" t="s">
        <v>68</v>
      </c>
      <c r="S64" s="108">
        <f>IF(AND(R64="j",$L64="j"),$G64,"")</f>
        <v>5</v>
      </c>
      <c r="T64" s="86"/>
      <c r="U64" s="112" t="s">
        <v>68</v>
      </c>
      <c r="V64" s="108">
        <f>IF(AND(U64="j",$L64="j"),$G64,"")</f>
        <v>5</v>
      </c>
      <c r="W64" s="86"/>
      <c r="X64" s="112" t="s">
        <v>68</v>
      </c>
      <c r="Y64" s="108">
        <f>IF(AND(X64="j",$L64="j"),$G64,"")</f>
        <v>5</v>
      </c>
      <c r="Z64" s="86"/>
      <c r="AA64" s="112" t="s">
        <v>71</v>
      </c>
      <c r="AB64" s="108">
        <f>IF(AND(AA64="j",$L64="j"),$G64,"")</f>
      </c>
      <c r="AC64" s="86"/>
      <c r="AD64" s="112" t="s">
        <v>71</v>
      </c>
      <c r="AE64" s="108">
        <f>IF(AND(AD64="j",$L64="j"),$G64,"")</f>
      </c>
      <c r="AF64" s="86"/>
      <c r="AG64" s="86"/>
      <c r="AH64" s="86"/>
      <c r="AI64" s="86"/>
    </row>
    <row r="65" spans="2:35" ht="12.75" outlineLevel="2">
      <c r="B65" s="20" t="str">
        <f t="shared" si="29"/>
        <v>G</v>
      </c>
      <c r="C65" s="21">
        <f>C$63</f>
        <v>1</v>
      </c>
      <c r="D65" s="23">
        <f>D64+1</f>
        <v>2</v>
      </c>
      <c r="E65" s="19" t="s">
        <v>79</v>
      </c>
      <c r="F65" s="12"/>
      <c r="G65" s="612">
        <v>10</v>
      </c>
      <c r="H65" s="613"/>
      <c r="I65" s="90"/>
      <c r="J65" s="69">
        <v>3</v>
      </c>
      <c r="K65" s="69">
        <v>3</v>
      </c>
      <c r="L65" s="104" t="s">
        <v>68</v>
      </c>
      <c r="M65" s="108">
        <f>IF(AND($F65=M$4,$L65="j"),$G65,0)</f>
        <v>0</v>
      </c>
      <c r="N65" s="90"/>
      <c r="O65" s="112" t="s">
        <v>68</v>
      </c>
      <c r="P65" s="108">
        <f>IF(AND(O65="j",$L65="j"),$G65,"")</f>
        <v>10</v>
      </c>
      <c r="Q65" s="90"/>
      <c r="R65" s="112" t="s">
        <v>71</v>
      </c>
      <c r="S65" s="108">
        <f>IF(AND(R65="j",$L65="j"),$G65,"")</f>
      </c>
      <c r="T65" s="90"/>
      <c r="U65" s="112" t="s">
        <v>71</v>
      </c>
      <c r="V65" s="108">
        <f>IF(AND(U65="j",$L65="j"),$G65,"")</f>
      </c>
      <c r="W65" s="90"/>
      <c r="X65" s="112" t="s">
        <v>68</v>
      </c>
      <c r="Y65" s="108">
        <f>IF(AND(X65="j",$L65="j"),$G65,"")</f>
        <v>10</v>
      </c>
      <c r="Z65" s="90"/>
      <c r="AA65" s="112" t="s">
        <v>68</v>
      </c>
      <c r="AB65" s="108">
        <f>IF(AND(AA65="j",$L65="j"),$G65,"")</f>
        <v>10</v>
      </c>
      <c r="AC65" s="90"/>
      <c r="AD65" s="112" t="s">
        <v>71</v>
      </c>
      <c r="AE65" s="108">
        <f>IF(AND(AD65="j",$L65="j"),$G65,"")</f>
      </c>
      <c r="AF65" s="86"/>
      <c r="AG65" s="86"/>
      <c r="AH65" s="90"/>
      <c r="AI65" s="90"/>
    </row>
    <row r="66" spans="2:35" ht="12.75" outlineLevel="2">
      <c r="B66" s="20" t="str">
        <f t="shared" si="29"/>
        <v>G</v>
      </c>
      <c r="C66" s="21">
        <f>C$63</f>
        <v>1</v>
      </c>
      <c r="D66" s="23">
        <f>D65+1</f>
        <v>3</v>
      </c>
      <c r="E66" s="13" t="s">
        <v>13</v>
      </c>
      <c r="F66" s="12" t="s">
        <v>9</v>
      </c>
      <c r="G66" s="612">
        <v>15</v>
      </c>
      <c r="H66" s="613"/>
      <c r="I66" s="90"/>
      <c r="J66" s="69">
        <v>3</v>
      </c>
      <c r="K66" s="69">
        <v>3</v>
      </c>
      <c r="L66" s="104" t="s">
        <v>68</v>
      </c>
      <c r="M66" s="108">
        <f>IF(AND($F66=M$4,$L66="j"),$G66,0)</f>
        <v>15</v>
      </c>
      <c r="N66" s="90"/>
      <c r="O66" s="112" t="s">
        <v>68</v>
      </c>
      <c r="P66" s="108">
        <f>IF(AND(O66="j",$L66="j"),$G66,"")</f>
        <v>15</v>
      </c>
      <c r="Q66" s="90"/>
      <c r="R66" s="112" t="s">
        <v>68</v>
      </c>
      <c r="S66" s="108">
        <f>IF(AND(R66="j",$L66="j"),$G66,"")</f>
        <v>15</v>
      </c>
      <c r="T66" s="90"/>
      <c r="U66" s="112" t="s">
        <v>68</v>
      </c>
      <c r="V66" s="108">
        <f>IF(AND(U66="j",$L66="j"),$G66,"")</f>
        <v>15</v>
      </c>
      <c r="W66" s="90"/>
      <c r="X66" s="112" t="s">
        <v>68</v>
      </c>
      <c r="Y66" s="108">
        <f>IF(AND(X66="j",$L66="j"),$G66,"")</f>
        <v>15</v>
      </c>
      <c r="Z66" s="90"/>
      <c r="AA66" s="112" t="s">
        <v>68</v>
      </c>
      <c r="AB66" s="108">
        <f>IF(AND(AA66="j",$L66="j"),$G66,"")</f>
        <v>15</v>
      </c>
      <c r="AC66" s="90"/>
      <c r="AD66" s="112" t="s">
        <v>68</v>
      </c>
      <c r="AE66" s="108">
        <f>IF(AND(AD66="j",$L66="j"),$G66,"")</f>
        <v>15</v>
      </c>
      <c r="AF66" s="86"/>
      <c r="AG66" s="86"/>
      <c r="AH66" s="90"/>
      <c r="AI66" s="90"/>
    </row>
    <row r="67" spans="2:35" ht="12.75" outlineLevel="1">
      <c r="B67" s="38" t="str">
        <f t="shared" si="29"/>
        <v>G</v>
      </c>
      <c r="C67" s="39">
        <v>2</v>
      </c>
      <c r="D67" s="29"/>
      <c r="E67" s="18" t="s">
        <v>2</v>
      </c>
      <c r="F67" s="83">
        <v>150</v>
      </c>
      <c r="G67" s="152">
        <f>IF(H67&gt;F67,F67,H67)</f>
        <v>150</v>
      </c>
      <c r="H67" s="151">
        <f>SUMIF(L68:L76,"j",G68:G76)</f>
        <v>160</v>
      </c>
      <c r="I67" s="92"/>
      <c r="J67" s="69"/>
      <c r="K67" s="69"/>
      <c r="L67" s="117"/>
      <c r="M67" s="111">
        <f>SUM(M68:M76)</f>
        <v>15</v>
      </c>
      <c r="N67" s="92"/>
      <c r="O67" s="607">
        <f>IF(SUM(P68:P76)&gt;$F67,$F67,SUM(P68:P76))</f>
        <v>80</v>
      </c>
      <c r="P67" s="608"/>
      <c r="Q67" s="92"/>
      <c r="R67" s="607">
        <f>IF(SUM(S68:S76)&gt;$F67,$F67,SUM(S68:S76))</f>
        <v>95</v>
      </c>
      <c r="S67" s="608"/>
      <c r="T67" s="92"/>
      <c r="U67" s="607">
        <f>IF(SUM(V68:V76)&gt;$F67,$F67,SUM(V68:V76))</f>
        <v>95</v>
      </c>
      <c r="V67" s="608"/>
      <c r="W67" s="92"/>
      <c r="X67" s="607">
        <f>IF(SUM(Y68:Y76)&gt;$F67,$F67,SUM(Y68:Y76))</f>
        <v>75</v>
      </c>
      <c r="Y67" s="608"/>
      <c r="Z67" s="92"/>
      <c r="AA67" s="607">
        <f>IF(SUM(AB68:AB76)&gt;$F67,$F67,SUM(AB68:AB76))</f>
        <v>75</v>
      </c>
      <c r="AB67" s="608"/>
      <c r="AC67" s="92"/>
      <c r="AD67" s="607">
        <f>IF(SUM(AE68:AE76)&gt;$F67,$F67,SUM(AE68:AE76))</f>
        <v>15</v>
      </c>
      <c r="AE67" s="608"/>
      <c r="AF67" s="92"/>
      <c r="AG67" s="92"/>
      <c r="AH67" s="92"/>
      <c r="AI67" s="92"/>
    </row>
    <row r="68" spans="2:35" ht="12.75" outlineLevel="2">
      <c r="B68" s="20" t="str">
        <f>B67</f>
        <v>G</v>
      </c>
      <c r="C68" s="21">
        <f aca="true" t="shared" si="30" ref="C68:C76">C$67</f>
        <v>2</v>
      </c>
      <c r="D68" s="30" t="s">
        <v>105</v>
      </c>
      <c r="E68" s="13" t="s">
        <v>52</v>
      </c>
      <c r="F68" s="614" t="s">
        <v>14</v>
      </c>
      <c r="G68" s="590">
        <v>60</v>
      </c>
      <c r="H68" s="591"/>
      <c r="I68" s="86"/>
      <c r="J68" s="69">
        <v>3</v>
      </c>
      <c r="K68" s="69">
        <v>3</v>
      </c>
      <c r="L68" s="104" t="s">
        <v>68</v>
      </c>
      <c r="M68" s="108">
        <f>IF(AND($F68=M$4,$L68="j"),$G68,0)</f>
        <v>0</v>
      </c>
      <c r="N68" s="86"/>
      <c r="O68" s="112" t="s">
        <v>71</v>
      </c>
      <c r="P68" s="108">
        <f>IF(AND(O68="j",$L68="j"),$G68,"")</f>
      </c>
      <c r="Q68" s="86"/>
      <c r="R68" s="112" t="s">
        <v>68</v>
      </c>
      <c r="S68" s="108">
        <f>IF(AND(R68="j",$L68="j"),$G68,"")</f>
        <v>60</v>
      </c>
      <c r="T68" s="86"/>
      <c r="U68" s="112" t="s">
        <v>68</v>
      </c>
      <c r="V68" s="108">
        <f>IF(AND(U68="j",$L68="j"),$G68,"")</f>
        <v>60</v>
      </c>
      <c r="W68" s="86"/>
      <c r="X68" s="112" t="s">
        <v>71</v>
      </c>
      <c r="Y68" s="108">
        <f>IF(AND(X68="j",$L68="j"),$G68,"")</f>
      </c>
      <c r="Z68" s="86"/>
      <c r="AA68" s="112" t="s">
        <v>71</v>
      </c>
      <c r="AB68" s="108">
        <f>IF(AND(AA68="j",$L68="j"),$G68,"")</f>
      </c>
      <c r="AC68" s="86"/>
      <c r="AD68" s="112" t="s">
        <v>71</v>
      </c>
      <c r="AE68" s="108">
        <f>IF(AND(AD68="j",$L68="j"),$G68,"")</f>
      </c>
      <c r="AF68" s="86"/>
      <c r="AG68" s="86"/>
      <c r="AH68" s="86"/>
      <c r="AI68" s="86"/>
    </row>
    <row r="69" spans="2:35" ht="12.75" outlineLevel="2">
      <c r="B69" s="20" t="str">
        <f>B68</f>
        <v>G</v>
      </c>
      <c r="C69" s="21">
        <f t="shared" si="30"/>
        <v>2</v>
      </c>
      <c r="D69" s="30" t="s">
        <v>106</v>
      </c>
      <c r="E69" s="13" t="s">
        <v>85</v>
      </c>
      <c r="F69" s="615"/>
      <c r="G69" s="590">
        <v>20</v>
      </c>
      <c r="H69" s="591"/>
      <c r="I69" s="86"/>
      <c r="J69" s="69">
        <v>1</v>
      </c>
      <c r="K69" s="69">
        <v>3</v>
      </c>
      <c r="L69" s="104" t="s">
        <v>68</v>
      </c>
      <c r="M69" s="108">
        <f>IF(AND($F69=M$4,$L69="j"),$G69,0)</f>
        <v>0</v>
      </c>
      <c r="N69" s="86"/>
      <c r="O69" s="112" t="s">
        <v>71</v>
      </c>
      <c r="P69" s="108">
        <f>IF(AND(O69="j",$L69="j"),$G69,"")</f>
      </c>
      <c r="Q69" s="86"/>
      <c r="R69" s="112" t="s">
        <v>68</v>
      </c>
      <c r="S69" s="108">
        <f>IF(AND(R69="j",$L69="j"),$G69,"")</f>
        <v>20</v>
      </c>
      <c r="T69" s="86"/>
      <c r="U69" s="112" t="s">
        <v>68</v>
      </c>
      <c r="V69" s="108">
        <f>IF(AND(U69="j",$L69="j"),$G69,"")</f>
        <v>20</v>
      </c>
      <c r="W69" s="86"/>
      <c r="X69" s="112" t="s">
        <v>71</v>
      </c>
      <c r="Y69" s="108">
        <f>IF(AND(X69="j",$L69="j"),$G69,"")</f>
      </c>
      <c r="Z69" s="86"/>
      <c r="AA69" s="112" t="s">
        <v>71</v>
      </c>
      <c r="AB69" s="108">
        <f>IF(AND(AA69="j",$L69="j"),$G69,"")</f>
      </c>
      <c r="AC69" s="86"/>
      <c r="AD69" s="112" t="s">
        <v>71</v>
      </c>
      <c r="AE69" s="108">
        <f>IF(AND(AD69="j",$L69="j"),$G69,"")</f>
      </c>
      <c r="AF69" s="86"/>
      <c r="AG69" s="86"/>
      <c r="AH69" s="86"/>
      <c r="AI69" s="86"/>
    </row>
    <row r="70" spans="2:35" ht="12.75" outlineLevel="2">
      <c r="B70" s="20" t="str">
        <f>B69</f>
        <v>G</v>
      </c>
      <c r="C70" s="21">
        <f t="shared" si="30"/>
        <v>2</v>
      </c>
      <c r="D70" s="30">
        <v>2</v>
      </c>
      <c r="E70" s="13" t="s">
        <v>101</v>
      </c>
      <c r="F70" s="12" t="s">
        <v>9</v>
      </c>
      <c r="G70" s="590">
        <v>15</v>
      </c>
      <c r="H70" s="591"/>
      <c r="I70" s="86"/>
      <c r="J70" s="69">
        <v>2</v>
      </c>
      <c r="K70" s="69">
        <v>2</v>
      </c>
      <c r="L70" s="104" t="s">
        <v>68</v>
      </c>
      <c r="M70" s="108">
        <f>IF(AND($F70=M$4,$L70="j"),$G70,0)</f>
        <v>15</v>
      </c>
      <c r="N70" s="86"/>
      <c r="O70" s="112" t="s">
        <v>68</v>
      </c>
      <c r="P70" s="108">
        <f>IF(AND(O70="j",$L70="j"),$G70,"")</f>
        <v>15</v>
      </c>
      <c r="Q70" s="86"/>
      <c r="R70" s="112" t="s">
        <v>68</v>
      </c>
      <c r="S70" s="108">
        <f>IF(AND(R70="j",$L70="j"),$G70,"")</f>
        <v>15</v>
      </c>
      <c r="T70" s="86"/>
      <c r="U70" s="112" t="s">
        <v>68</v>
      </c>
      <c r="V70" s="108">
        <f>IF(AND(U70="j",$L70="j"),$G70,"")</f>
        <v>15</v>
      </c>
      <c r="W70" s="86"/>
      <c r="X70" s="112" t="s">
        <v>68</v>
      </c>
      <c r="Y70" s="108">
        <f>IF(AND(X70="j",$L70="j"),$G70,"")</f>
        <v>15</v>
      </c>
      <c r="Z70" s="86"/>
      <c r="AA70" s="112" t="s">
        <v>68</v>
      </c>
      <c r="AB70" s="108">
        <f>IF(AND(AA70="j",$L70="j"),$G70,"")</f>
        <v>15</v>
      </c>
      <c r="AC70" s="86"/>
      <c r="AD70" s="112" t="s">
        <v>68</v>
      </c>
      <c r="AE70" s="108">
        <f>IF(AND(AD70="j",$L70="j"),$G70,"")</f>
        <v>15</v>
      </c>
      <c r="AF70" s="86"/>
      <c r="AG70" s="86"/>
      <c r="AH70" s="86"/>
      <c r="AI70" s="86"/>
    </row>
    <row r="71" spans="2:35" ht="26.25" customHeight="1" outlineLevel="2">
      <c r="B71" s="20" t="str">
        <f>B70</f>
        <v>G</v>
      </c>
      <c r="C71" s="21">
        <f t="shared" si="30"/>
        <v>2</v>
      </c>
      <c r="D71" s="30">
        <f aca="true" t="shared" si="31" ref="D71:D76">D70+1</f>
        <v>3</v>
      </c>
      <c r="E71" s="13" t="s">
        <v>102</v>
      </c>
      <c r="F71" s="12"/>
      <c r="G71" s="590">
        <v>10</v>
      </c>
      <c r="H71" s="591"/>
      <c r="I71" s="86"/>
      <c r="J71" s="69">
        <v>2</v>
      </c>
      <c r="K71" s="69">
        <v>2</v>
      </c>
      <c r="L71" s="104" t="s">
        <v>68</v>
      </c>
      <c r="M71" s="108">
        <f aca="true" t="shared" si="32" ref="M71:M76">IF(AND($F71=M$4,$L71="j"),$G71,0)</f>
        <v>0</v>
      </c>
      <c r="N71" s="86"/>
      <c r="O71" s="112" t="s">
        <v>68</v>
      </c>
      <c r="P71" s="108">
        <f aca="true" t="shared" si="33" ref="P71:P76">IF(AND(O71="j",$L71="j"),$G71,"")</f>
        <v>10</v>
      </c>
      <c r="Q71" s="86"/>
      <c r="R71" s="112" t="s">
        <v>71</v>
      </c>
      <c r="S71" s="108">
        <f aca="true" t="shared" si="34" ref="S71:S76">IF(AND(R71="j",$L71="j"),$G71,"")</f>
      </c>
      <c r="T71" s="86"/>
      <c r="U71" s="112" t="s">
        <v>71</v>
      </c>
      <c r="V71" s="108">
        <f aca="true" t="shared" si="35" ref="V71:V76">IF(AND(U71="j",$L71="j"),$G71,"")</f>
      </c>
      <c r="W71" s="86"/>
      <c r="X71" s="112" t="s">
        <v>68</v>
      </c>
      <c r="Y71" s="108">
        <f aca="true" t="shared" si="36" ref="Y71:Y76">IF(AND(X71="j",$L71="j"),$G71,"")</f>
        <v>10</v>
      </c>
      <c r="Z71" s="86"/>
      <c r="AA71" s="112" t="s">
        <v>68</v>
      </c>
      <c r="AB71" s="108">
        <f aca="true" t="shared" si="37" ref="AB71:AB76">IF(AND(AA71="j",$L71="j"),$G71,"")</f>
        <v>10</v>
      </c>
      <c r="AC71" s="86"/>
      <c r="AD71" s="112" t="s">
        <v>71</v>
      </c>
      <c r="AE71" s="108">
        <f aca="true" t="shared" si="38" ref="AE71:AE76">IF(AND(AD71="j",$L71="j"),$G71,"")</f>
      </c>
      <c r="AF71" s="86"/>
      <c r="AG71" s="86"/>
      <c r="AH71" s="86"/>
      <c r="AI71" s="86"/>
    </row>
    <row r="72" spans="2:35" ht="12.75" outlineLevel="2">
      <c r="B72" s="20" t="str">
        <f t="shared" si="29"/>
        <v>G</v>
      </c>
      <c r="C72" s="21">
        <f t="shared" si="30"/>
        <v>2</v>
      </c>
      <c r="D72" s="30">
        <f t="shared" si="31"/>
        <v>4</v>
      </c>
      <c r="E72" s="13" t="s">
        <v>103</v>
      </c>
      <c r="F72" s="12"/>
      <c r="G72" s="590">
        <v>5</v>
      </c>
      <c r="H72" s="591"/>
      <c r="I72" s="86"/>
      <c r="J72" s="69">
        <v>1</v>
      </c>
      <c r="K72" s="69">
        <v>2</v>
      </c>
      <c r="L72" s="104" t="s">
        <v>68</v>
      </c>
      <c r="M72" s="108">
        <f t="shared" si="32"/>
        <v>0</v>
      </c>
      <c r="N72" s="86"/>
      <c r="O72" s="112" t="s">
        <v>68</v>
      </c>
      <c r="P72" s="108">
        <f t="shared" si="33"/>
        <v>5</v>
      </c>
      <c r="Q72" s="86"/>
      <c r="R72" s="112" t="s">
        <v>71</v>
      </c>
      <c r="S72" s="108">
        <f t="shared" si="34"/>
      </c>
      <c r="T72" s="86"/>
      <c r="U72" s="112" t="s">
        <v>71</v>
      </c>
      <c r="V72" s="108">
        <f t="shared" si="35"/>
      </c>
      <c r="W72" s="86"/>
      <c r="X72" s="112" t="s">
        <v>68</v>
      </c>
      <c r="Y72" s="108">
        <f t="shared" si="36"/>
        <v>5</v>
      </c>
      <c r="Z72" s="86"/>
      <c r="AA72" s="112" t="s">
        <v>68</v>
      </c>
      <c r="AB72" s="108">
        <f t="shared" si="37"/>
        <v>5</v>
      </c>
      <c r="AC72" s="86"/>
      <c r="AD72" s="112" t="s">
        <v>71</v>
      </c>
      <c r="AE72" s="108">
        <f t="shared" si="38"/>
      </c>
      <c r="AF72" s="86"/>
      <c r="AG72" s="86"/>
      <c r="AH72" s="86"/>
      <c r="AI72" s="86"/>
    </row>
    <row r="73" spans="2:35" ht="51" outlineLevel="2">
      <c r="B73" s="20" t="str">
        <f t="shared" si="29"/>
        <v>G</v>
      </c>
      <c r="C73" s="21">
        <f t="shared" si="30"/>
        <v>2</v>
      </c>
      <c r="D73" s="30">
        <f t="shared" si="31"/>
        <v>5</v>
      </c>
      <c r="E73" s="84" t="s">
        <v>64</v>
      </c>
      <c r="F73" s="12"/>
      <c r="G73" s="590">
        <v>10</v>
      </c>
      <c r="H73" s="591"/>
      <c r="I73" s="86"/>
      <c r="J73" s="157">
        <v>0</v>
      </c>
      <c r="K73" s="69">
        <v>2</v>
      </c>
      <c r="L73" s="104" t="s">
        <v>68</v>
      </c>
      <c r="M73" s="108">
        <f t="shared" si="32"/>
        <v>0</v>
      </c>
      <c r="N73" s="86"/>
      <c r="O73" s="112" t="s">
        <v>68</v>
      </c>
      <c r="P73" s="108">
        <f t="shared" si="33"/>
        <v>10</v>
      </c>
      <c r="Q73" s="86"/>
      <c r="R73" s="112" t="s">
        <v>71</v>
      </c>
      <c r="S73" s="108">
        <f t="shared" si="34"/>
      </c>
      <c r="T73" s="86"/>
      <c r="U73" s="112" t="s">
        <v>71</v>
      </c>
      <c r="V73" s="108">
        <f t="shared" si="35"/>
      </c>
      <c r="W73" s="86"/>
      <c r="X73" s="112" t="s">
        <v>68</v>
      </c>
      <c r="Y73" s="108">
        <f t="shared" si="36"/>
        <v>10</v>
      </c>
      <c r="Z73" s="86"/>
      <c r="AA73" s="112" t="s">
        <v>68</v>
      </c>
      <c r="AB73" s="108">
        <f t="shared" si="37"/>
        <v>10</v>
      </c>
      <c r="AC73" s="86"/>
      <c r="AD73" s="112" t="s">
        <v>71</v>
      </c>
      <c r="AE73" s="108">
        <f t="shared" si="38"/>
      </c>
      <c r="AF73" s="86"/>
      <c r="AG73" s="86"/>
      <c r="AH73" s="86"/>
      <c r="AI73" s="86"/>
    </row>
    <row r="74" spans="2:35" ht="25.5" outlineLevel="2">
      <c r="B74" s="20" t="str">
        <f>B72</f>
        <v>G</v>
      </c>
      <c r="C74" s="21">
        <f t="shared" si="30"/>
        <v>2</v>
      </c>
      <c r="D74" s="30">
        <f t="shared" si="31"/>
        <v>6</v>
      </c>
      <c r="E74" s="13" t="s">
        <v>58</v>
      </c>
      <c r="F74" s="12"/>
      <c r="G74" s="590">
        <v>10</v>
      </c>
      <c r="H74" s="591"/>
      <c r="I74" s="86"/>
      <c r="J74" s="69">
        <v>3</v>
      </c>
      <c r="K74" s="69">
        <v>2</v>
      </c>
      <c r="L74" s="104" t="s">
        <v>68</v>
      </c>
      <c r="M74" s="108">
        <f t="shared" si="32"/>
        <v>0</v>
      </c>
      <c r="N74" s="86"/>
      <c r="O74" s="112" t="s">
        <v>68</v>
      </c>
      <c r="P74" s="108">
        <f t="shared" si="33"/>
        <v>10</v>
      </c>
      <c r="Q74" s="86"/>
      <c r="R74" s="112" t="s">
        <v>71</v>
      </c>
      <c r="S74" s="108">
        <f t="shared" si="34"/>
      </c>
      <c r="T74" s="86"/>
      <c r="U74" s="112" t="s">
        <v>71</v>
      </c>
      <c r="V74" s="108">
        <f t="shared" si="35"/>
      </c>
      <c r="W74" s="86"/>
      <c r="X74" s="112" t="s">
        <v>68</v>
      </c>
      <c r="Y74" s="108">
        <f t="shared" si="36"/>
        <v>10</v>
      </c>
      <c r="Z74" s="86"/>
      <c r="AA74" s="112" t="s">
        <v>68</v>
      </c>
      <c r="AB74" s="108">
        <f t="shared" si="37"/>
        <v>10</v>
      </c>
      <c r="AC74" s="86"/>
      <c r="AD74" s="112" t="s">
        <v>71</v>
      </c>
      <c r="AE74" s="108">
        <f t="shared" si="38"/>
      </c>
      <c r="AF74" s="86"/>
      <c r="AG74" s="86"/>
      <c r="AH74" s="86"/>
      <c r="AI74" s="86"/>
    </row>
    <row r="75" spans="2:35" ht="12.75" outlineLevel="2">
      <c r="B75" s="20" t="str">
        <f>B72</f>
        <v>G</v>
      </c>
      <c r="C75" s="21">
        <f t="shared" si="30"/>
        <v>2</v>
      </c>
      <c r="D75" s="30">
        <f t="shared" si="31"/>
        <v>7</v>
      </c>
      <c r="E75" s="13" t="s">
        <v>104</v>
      </c>
      <c r="F75" s="12"/>
      <c r="G75" s="590">
        <v>5</v>
      </c>
      <c r="H75" s="591"/>
      <c r="I75" s="86"/>
      <c r="J75" s="69">
        <v>2</v>
      </c>
      <c r="K75" s="69">
        <v>1</v>
      </c>
      <c r="L75" s="104" t="s">
        <v>68</v>
      </c>
      <c r="M75" s="108">
        <f t="shared" si="32"/>
        <v>0</v>
      </c>
      <c r="N75" s="86"/>
      <c r="O75" s="112" t="s">
        <v>68</v>
      </c>
      <c r="P75" s="108">
        <f t="shared" si="33"/>
        <v>5</v>
      </c>
      <c r="Q75" s="86"/>
      <c r="R75" s="112" t="s">
        <v>71</v>
      </c>
      <c r="S75" s="108">
        <f t="shared" si="34"/>
      </c>
      <c r="T75" s="86"/>
      <c r="U75" s="112" t="s">
        <v>71</v>
      </c>
      <c r="V75" s="108">
        <f t="shared" si="35"/>
      </c>
      <c r="W75" s="86"/>
      <c r="X75" s="112" t="s">
        <v>71</v>
      </c>
      <c r="Y75" s="108">
        <f t="shared" si="36"/>
      </c>
      <c r="Z75" s="86"/>
      <c r="AA75" s="112" t="s">
        <v>71</v>
      </c>
      <c r="AB75" s="108">
        <f t="shared" si="37"/>
      </c>
      <c r="AC75" s="86"/>
      <c r="AD75" s="112" t="s">
        <v>71</v>
      </c>
      <c r="AE75" s="108">
        <f t="shared" si="38"/>
      </c>
      <c r="AF75" s="86"/>
      <c r="AG75" s="86"/>
      <c r="AH75" s="86"/>
      <c r="AI75" s="86"/>
    </row>
    <row r="76" spans="2:35" ht="25.5" outlineLevel="2">
      <c r="B76" s="20" t="str">
        <f>B73</f>
        <v>G</v>
      </c>
      <c r="C76" s="21">
        <f t="shared" si="30"/>
        <v>2</v>
      </c>
      <c r="D76" s="30">
        <f t="shared" si="31"/>
        <v>8</v>
      </c>
      <c r="E76" s="13" t="s">
        <v>57</v>
      </c>
      <c r="F76" s="12"/>
      <c r="G76" s="590">
        <v>25</v>
      </c>
      <c r="H76" s="591"/>
      <c r="I76" s="86"/>
      <c r="J76" s="69">
        <v>0</v>
      </c>
      <c r="K76" s="69">
        <v>3</v>
      </c>
      <c r="L76" s="104" t="s">
        <v>68</v>
      </c>
      <c r="M76" s="108">
        <f t="shared" si="32"/>
        <v>0</v>
      </c>
      <c r="N76" s="86"/>
      <c r="O76" s="112" t="s">
        <v>68</v>
      </c>
      <c r="P76" s="108">
        <f t="shared" si="33"/>
        <v>25</v>
      </c>
      <c r="Q76" s="86"/>
      <c r="R76" s="112" t="s">
        <v>71</v>
      </c>
      <c r="S76" s="108">
        <f t="shared" si="34"/>
      </c>
      <c r="T76" s="86"/>
      <c r="U76" s="112" t="s">
        <v>71</v>
      </c>
      <c r="V76" s="108">
        <f t="shared" si="35"/>
      </c>
      <c r="W76" s="86"/>
      <c r="X76" s="112" t="s">
        <v>68</v>
      </c>
      <c r="Y76" s="108">
        <f t="shared" si="36"/>
        <v>25</v>
      </c>
      <c r="Z76" s="86"/>
      <c r="AA76" s="112" t="s">
        <v>68</v>
      </c>
      <c r="AB76" s="108">
        <f t="shared" si="37"/>
        <v>25</v>
      </c>
      <c r="AC76" s="86"/>
      <c r="AD76" s="112" t="s">
        <v>71</v>
      </c>
      <c r="AE76" s="108">
        <f t="shared" si="38"/>
      </c>
      <c r="AF76" s="86"/>
      <c r="AG76" s="86"/>
      <c r="AH76" s="86"/>
      <c r="AI76" s="86"/>
    </row>
    <row r="77" spans="2:35" ht="12.75" outlineLevel="1">
      <c r="B77" s="38" t="str">
        <f>B76</f>
        <v>G</v>
      </c>
      <c r="C77" s="39">
        <v>3</v>
      </c>
      <c r="D77" s="29"/>
      <c r="E77" s="18" t="s">
        <v>3</v>
      </c>
      <c r="F77" s="83">
        <v>25</v>
      </c>
      <c r="G77" s="152">
        <f>IF(H77&gt;F77,F77,H77)</f>
        <v>25</v>
      </c>
      <c r="H77" s="151">
        <f>SUMIF(L78:L80,"j",G78:G80)</f>
        <v>25</v>
      </c>
      <c r="I77" s="91"/>
      <c r="J77" s="69"/>
      <c r="K77" s="69"/>
      <c r="L77" s="117"/>
      <c r="M77" s="105">
        <f>SUM(M78:M80)</f>
        <v>0</v>
      </c>
      <c r="N77" s="91"/>
      <c r="O77" s="559">
        <f>IF(SUM(P78:P80)&gt;$F77,$F77,SUM(P78:P80))</f>
        <v>25</v>
      </c>
      <c r="P77" s="557"/>
      <c r="Q77" s="91"/>
      <c r="R77" s="559">
        <f>IF(SUM(S78:S80)&gt;$F77,$F77,SUM(S78:S80))</f>
        <v>0</v>
      </c>
      <c r="S77" s="557"/>
      <c r="T77" s="91"/>
      <c r="U77" s="559">
        <f>IF(SUM(V78:V80)&gt;$F77,$F77,SUM(V78:V80))</f>
        <v>25</v>
      </c>
      <c r="V77" s="557"/>
      <c r="W77" s="91"/>
      <c r="X77" s="559">
        <f>IF(SUM(Y78:Y80)&gt;$F77,$F77,SUM(Y78:Y80))</f>
        <v>25</v>
      </c>
      <c r="Y77" s="557"/>
      <c r="Z77" s="91"/>
      <c r="AA77" s="559">
        <f>IF(SUM(AB78:AB80)&gt;$F77,$F77,SUM(AB78:AB80))</f>
        <v>25</v>
      </c>
      <c r="AB77" s="557"/>
      <c r="AC77" s="91"/>
      <c r="AD77" s="559">
        <f>IF(SUM(AE78:AE80)&gt;$F77,$F77,SUM(AE78:AE80))</f>
        <v>25</v>
      </c>
      <c r="AE77" s="557"/>
      <c r="AF77" s="91"/>
      <c r="AG77" s="91"/>
      <c r="AH77" s="91"/>
      <c r="AI77" s="91"/>
    </row>
    <row r="78" spans="2:35" ht="27" customHeight="1" outlineLevel="2">
      <c r="B78" s="20" t="str">
        <f aca="true" t="shared" si="39" ref="B78:B83">B77</f>
        <v>G</v>
      </c>
      <c r="C78" s="21">
        <f>C$77</f>
        <v>3</v>
      </c>
      <c r="D78" s="30">
        <v>1</v>
      </c>
      <c r="E78" s="13" t="s">
        <v>15</v>
      </c>
      <c r="F78" s="12"/>
      <c r="G78" s="590">
        <v>10</v>
      </c>
      <c r="H78" s="591"/>
      <c r="I78" s="86"/>
      <c r="J78" s="157">
        <v>0</v>
      </c>
      <c r="K78" s="69">
        <v>3</v>
      </c>
      <c r="L78" s="104" t="s">
        <v>68</v>
      </c>
      <c r="M78" s="108">
        <f>IF(AND($F78=M$4,$L78="j"),$G78,0)</f>
        <v>0</v>
      </c>
      <c r="N78" s="86"/>
      <c r="O78" s="112" t="s">
        <v>68</v>
      </c>
      <c r="P78" s="108">
        <f>IF(AND(O78="j",$L78="j"),$G78,"")</f>
        <v>10</v>
      </c>
      <c r="Q78" s="86"/>
      <c r="R78" s="112" t="s">
        <v>71</v>
      </c>
      <c r="S78" s="108">
        <f>IF(AND(R78="j",$L78="j"),$G78,"")</f>
      </c>
      <c r="T78" s="86"/>
      <c r="U78" s="112" t="s">
        <v>68</v>
      </c>
      <c r="V78" s="108">
        <f>IF(AND(U78="j",$L78="j"),$G78,"")</f>
        <v>10</v>
      </c>
      <c r="W78" s="86"/>
      <c r="X78" s="112" t="s">
        <v>68</v>
      </c>
      <c r="Y78" s="108">
        <f>IF(AND(X78="j",$L78="j"),$G78,"")</f>
        <v>10</v>
      </c>
      <c r="Z78" s="86"/>
      <c r="AA78" s="112" t="s">
        <v>68</v>
      </c>
      <c r="AB78" s="108">
        <f>IF(AND(AA78="j",$L78="j"),$G78,"")</f>
        <v>10</v>
      </c>
      <c r="AC78" s="86"/>
      <c r="AD78" s="112" t="s">
        <v>68</v>
      </c>
      <c r="AE78" s="108">
        <f>IF(AND(AD78="j",$L78="j"),$G78,"")</f>
        <v>10</v>
      </c>
      <c r="AF78" s="86"/>
      <c r="AG78" s="86"/>
      <c r="AH78" s="86"/>
      <c r="AI78" s="86"/>
    </row>
    <row r="79" spans="2:35" ht="25.5" customHeight="1" outlineLevel="2">
      <c r="B79" s="20" t="str">
        <f t="shared" si="39"/>
        <v>G</v>
      </c>
      <c r="C79" s="21">
        <f>C$77</f>
        <v>3</v>
      </c>
      <c r="D79" s="30">
        <f>D78+1</f>
        <v>2</v>
      </c>
      <c r="E79" s="13" t="s">
        <v>16</v>
      </c>
      <c r="F79" s="12"/>
      <c r="G79" s="590">
        <v>10</v>
      </c>
      <c r="H79" s="591"/>
      <c r="I79" s="86"/>
      <c r="J79" s="157">
        <v>0</v>
      </c>
      <c r="K79" s="69">
        <v>3</v>
      </c>
      <c r="L79" s="104" t="s">
        <v>68</v>
      </c>
      <c r="M79" s="108">
        <f>IF(AND($F79=M$4,$L79="j"),$G79,0)</f>
        <v>0</v>
      </c>
      <c r="N79" s="86"/>
      <c r="O79" s="112" t="s">
        <v>68</v>
      </c>
      <c r="P79" s="108">
        <f>IF(AND(O79="j",$L79="j"),$G79,"")</f>
        <v>10</v>
      </c>
      <c r="Q79" s="86"/>
      <c r="R79" s="112" t="s">
        <v>71</v>
      </c>
      <c r="S79" s="108">
        <f>IF(AND(R79="j",$L79="j"),$G79,"")</f>
      </c>
      <c r="T79" s="86"/>
      <c r="U79" s="112" t="s">
        <v>68</v>
      </c>
      <c r="V79" s="108">
        <f>IF(AND(U79="j",$L79="j"),$G79,"")</f>
        <v>10</v>
      </c>
      <c r="W79" s="86"/>
      <c r="X79" s="112" t="s">
        <v>68</v>
      </c>
      <c r="Y79" s="108">
        <f>IF(AND(X79="j",$L79="j"),$G79,"")</f>
        <v>10</v>
      </c>
      <c r="Z79" s="86"/>
      <c r="AA79" s="112" t="s">
        <v>68</v>
      </c>
      <c r="AB79" s="108">
        <f>IF(AND(AA79="j",$L79="j"),$G79,"")</f>
        <v>10</v>
      </c>
      <c r="AC79" s="86"/>
      <c r="AD79" s="112" t="s">
        <v>68</v>
      </c>
      <c r="AE79" s="108">
        <f>IF(AND(AD79="j",$L79="j"),$G79,"")</f>
        <v>10</v>
      </c>
      <c r="AF79" s="86"/>
      <c r="AG79" s="86"/>
      <c r="AH79" s="86"/>
      <c r="AI79" s="86"/>
    </row>
    <row r="80" spans="2:35" ht="12.75" outlineLevel="2">
      <c r="B80" s="20" t="str">
        <f t="shared" si="39"/>
        <v>G</v>
      </c>
      <c r="C80" s="21">
        <f>C$77</f>
        <v>3</v>
      </c>
      <c r="D80" s="30">
        <f>D79+1</f>
        <v>3</v>
      </c>
      <c r="E80" s="13" t="s">
        <v>17</v>
      </c>
      <c r="F80" s="12"/>
      <c r="G80" s="590">
        <v>5</v>
      </c>
      <c r="H80" s="591"/>
      <c r="I80" s="86"/>
      <c r="J80" s="157">
        <v>0</v>
      </c>
      <c r="K80" s="69">
        <v>3</v>
      </c>
      <c r="L80" s="104" t="s">
        <v>68</v>
      </c>
      <c r="M80" s="108">
        <f>IF(AND($F80=M$4,$L80="j"),$G80,0)</f>
        <v>0</v>
      </c>
      <c r="N80" s="86"/>
      <c r="O80" s="112" t="s">
        <v>68</v>
      </c>
      <c r="P80" s="108">
        <f>IF(AND(O80="j",$L80="j"),$G80,"")</f>
        <v>5</v>
      </c>
      <c r="Q80" s="86"/>
      <c r="R80" s="112" t="s">
        <v>71</v>
      </c>
      <c r="S80" s="108">
        <f>IF(AND(R80="j",$L80="j"),$G80,"")</f>
      </c>
      <c r="T80" s="86"/>
      <c r="U80" s="112" t="s">
        <v>68</v>
      </c>
      <c r="V80" s="108">
        <f>IF(AND(U80="j",$L80="j"),$G80,"")</f>
        <v>5</v>
      </c>
      <c r="W80" s="86"/>
      <c r="X80" s="112" t="s">
        <v>68</v>
      </c>
      <c r="Y80" s="108">
        <f>IF(AND(X80="j",$L80="j"),$G80,"")</f>
        <v>5</v>
      </c>
      <c r="Z80" s="86"/>
      <c r="AA80" s="112" t="s">
        <v>68</v>
      </c>
      <c r="AB80" s="108">
        <f>IF(AND(AA80="j",$L80="j"),$G80,"")</f>
        <v>5</v>
      </c>
      <c r="AC80" s="86"/>
      <c r="AD80" s="112" t="s">
        <v>68</v>
      </c>
      <c r="AE80" s="108">
        <f>IF(AND(AD80="j",$L80="j"),$G80,"")</f>
        <v>5</v>
      </c>
      <c r="AF80" s="86"/>
      <c r="AG80" s="86"/>
      <c r="AH80" s="86"/>
      <c r="AI80" s="86"/>
    </row>
    <row r="81" spans="2:35" ht="12.75" outlineLevel="1">
      <c r="B81" s="38" t="str">
        <f t="shared" si="39"/>
        <v>G</v>
      </c>
      <c r="C81" s="39">
        <v>4</v>
      </c>
      <c r="D81" s="29"/>
      <c r="E81" s="18" t="s">
        <v>4</v>
      </c>
      <c r="F81" s="83">
        <v>15</v>
      </c>
      <c r="G81" s="152">
        <f>IF(H81&gt;F81,F81,H81)</f>
        <v>15</v>
      </c>
      <c r="H81" s="151">
        <f>SUMIF(L82:L83,"j",G82:G83)</f>
        <v>15</v>
      </c>
      <c r="I81" s="91"/>
      <c r="J81" s="69"/>
      <c r="K81" s="69"/>
      <c r="L81" s="117"/>
      <c r="M81" s="105">
        <f>SUM(M82:M83)</f>
        <v>0</v>
      </c>
      <c r="N81" s="91"/>
      <c r="O81" s="559">
        <f>IF(SUM(P82:P83)&gt;$F81,$F81,SUM(P82:P83))</f>
        <v>15</v>
      </c>
      <c r="P81" s="557"/>
      <c r="Q81" s="91"/>
      <c r="R81" s="559">
        <f>IF(SUM(S82:S83)&gt;$F81,$F81,SUM(S82:S83))</f>
        <v>15</v>
      </c>
      <c r="S81" s="557"/>
      <c r="T81" s="91"/>
      <c r="U81" s="559">
        <f>IF(SUM(V82:V83)&gt;$F81,$F81,SUM(V82:V83))</f>
        <v>15</v>
      </c>
      <c r="V81" s="557"/>
      <c r="W81" s="91"/>
      <c r="X81" s="559">
        <f>IF(SUM(Y82:Y83)&gt;$F81,$F81,SUM(Y82:Y83))</f>
        <v>15</v>
      </c>
      <c r="Y81" s="557"/>
      <c r="Z81" s="91"/>
      <c r="AA81" s="559">
        <f>IF(SUM(AB82:AB83)&gt;$F81,$F81,SUM(AB82:AB83))</f>
        <v>15</v>
      </c>
      <c r="AB81" s="557"/>
      <c r="AC81" s="91"/>
      <c r="AD81" s="559">
        <f>IF(SUM(AE82:AE83)&gt;$F81,$F81,SUM(AE82:AE83))</f>
        <v>15</v>
      </c>
      <c r="AE81" s="557"/>
      <c r="AF81" s="91"/>
      <c r="AG81" s="91"/>
      <c r="AH81" s="91"/>
      <c r="AI81" s="91"/>
    </row>
    <row r="82" spans="2:35" ht="12.75" outlineLevel="2">
      <c r="B82" s="20" t="str">
        <f t="shared" si="39"/>
        <v>G</v>
      </c>
      <c r="C82" s="21">
        <f>C$81</f>
        <v>4</v>
      </c>
      <c r="D82" s="30">
        <v>1</v>
      </c>
      <c r="E82" s="13" t="s">
        <v>36</v>
      </c>
      <c r="F82" s="12"/>
      <c r="G82" s="590">
        <v>10</v>
      </c>
      <c r="H82" s="591"/>
      <c r="I82" s="86"/>
      <c r="J82" s="69">
        <v>3</v>
      </c>
      <c r="K82" s="69">
        <v>3</v>
      </c>
      <c r="L82" s="104" t="s">
        <v>68</v>
      </c>
      <c r="M82" s="108">
        <f>IF(AND($F82=M$4,$L82="j"),$G82,0)</f>
        <v>0</v>
      </c>
      <c r="N82" s="86"/>
      <c r="O82" s="112" t="s">
        <v>68</v>
      </c>
      <c r="P82" s="108">
        <f>IF(AND(O82="j",$L82="j"),$G82,"")</f>
        <v>10</v>
      </c>
      <c r="Q82" s="86"/>
      <c r="R82" s="112" t="s">
        <v>68</v>
      </c>
      <c r="S82" s="108">
        <f>IF(AND(R82="j",$L82="j"),$G82,"")</f>
        <v>10</v>
      </c>
      <c r="T82" s="86"/>
      <c r="U82" s="112" t="s">
        <v>68</v>
      </c>
      <c r="V82" s="108">
        <f>IF(AND(U82="j",$L82="j"),$G82,"")</f>
        <v>10</v>
      </c>
      <c r="W82" s="86"/>
      <c r="X82" s="112" t="s">
        <v>68</v>
      </c>
      <c r="Y82" s="108">
        <f>IF(AND(X82="j",$L82="j"),$G82,"")</f>
        <v>10</v>
      </c>
      <c r="Z82" s="86"/>
      <c r="AA82" s="112" t="s">
        <v>68</v>
      </c>
      <c r="AB82" s="108">
        <f>IF(AND(AA82="j",$L82="j"),$G82,"")</f>
        <v>10</v>
      </c>
      <c r="AC82" s="86"/>
      <c r="AD82" s="112" t="s">
        <v>68</v>
      </c>
      <c r="AE82" s="108">
        <f>IF(AND(AD82="j",$L82="j"),$G82,"")</f>
        <v>10</v>
      </c>
      <c r="AF82" s="86"/>
      <c r="AG82" s="86"/>
      <c r="AH82" s="86"/>
      <c r="AI82" s="86"/>
    </row>
    <row r="83" spans="2:35" ht="13.5" outlineLevel="2" thickBot="1">
      <c r="B83" s="24" t="str">
        <f t="shared" si="39"/>
        <v>G</v>
      </c>
      <c r="C83" s="25">
        <f>C$81</f>
        <v>4</v>
      </c>
      <c r="D83" s="31">
        <f>D82+1</f>
        <v>2</v>
      </c>
      <c r="E83" s="14" t="s">
        <v>37</v>
      </c>
      <c r="F83" s="15"/>
      <c r="G83" s="588">
        <v>5</v>
      </c>
      <c r="H83" s="589"/>
      <c r="I83" s="86"/>
      <c r="J83" s="69">
        <v>3</v>
      </c>
      <c r="K83" s="69">
        <v>3</v>
      </c>
      <c r="L83" s="104" t="s">
        <v>68</v>
      </c>
      <c r="M83" s="108">
        <f>IF(AND($F83=M$4,$L83="j"),$G83,0)</f>
        <v>0</v>
      </c>
      <c r="N83" s="86"/>
      <c r="O83" s="112" t="s">
        <v>68</v>
      </c>
      <c r="P83" s="108">
        <f>IF(AND(O83="j",$L83="j"),$G83,"")</f>
        <v>5</v>
      </c>
      <c r="Q83" s="86"/>
      <c r="R83" s="112" t="s">
        <v>68</v>
      </c>
      <c r="S83" s="108">
        <f>IF(AND(R83="j",$L83="j"),$G83,"")</f>
        <v>5</v>
      </c>
      <c r="T83" s="86"/>
      <c r="U83" s="112" t="s">
        <v>68</v>
      </c>
      <c r="V83" s="108">
        <f>IF(AND(U83="j",$L83="j"),$G83,"")</f>
        <v>5</v>
      </c>
      <c r="W83" s="86"/>
      <c r="X83" s="112" t="s">
        <v>68</v>
      </c>
      <c r="Y83" s="108">
        <f>IF(AND(X83="j",$L83="j"),$G83,"")</f>
        <v>5</v>
      </c>
      <c r="Z83" s="86"/>
      <c r="AA83" s="112" t="s">
        <v>68</v>
      </c>
      <c r="AB83" s="108">
        <f>IF(AND(AA83="j",$L83="j"),$G83,"")</f>
        <v>5</v>
      </c>
      <c r="AC83" s="86"/>
      <c r="AD83" s="112" t="s">
        <v>68</v>
      </c>
      <c r="AE83" s="108">
        <f>IF(AND(AD83="j",$L83="j"),$G83,"")</f>
        <v>5</v>
      </c>
      <c r="AF83" s="86"/>
      <c r="AG83" s="86"/>
      <c r="AH83" s="86"/>
      <c r="AI83" s="86"/>
    </row>
    <row r="84" spans="6:12" ht="16.5" thickBot="1">
      <c r="F84" s="75" t="s">
        <v>47</v>
      </c>
      <c r="G84" s="103">
        <f>G3</f>
        <v>1000</v>
      </c>
      <c r="H84" s="103">
        <f>H3</f>
        <v>1180</v>
      </c>
      <c r="J84" s="95"/>
      <c r="K84" s="95"/>
      <c r="L84" s="95"/>
    </row>
    <row r="85" spans="9:12" ht="12.75">
      <c r="I85" s="74"/>
      <c r="J85" s="5"/>
      <c r="L85" s="74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  <row r="264" ht="12.75">
      <c r="J264" s="5"/>
    </row>
    <row r="265" ht="12.75">
      <c r="J265" s="5"/>
    </row>
    <row r="266" ht="12.75">
      <c r="J266" s="5"/>
    </row>
    <row r="267" ht="12.75">
      <c r="J267" s="5"/>
    </row>
    <row r="268" ht="12.75">
      <c r="J268" s="5"/>
    </row>
    <row r="269" ht="12.75">
      <c r="J269" s="5"/>
    </row>
    <row r="270" ht="12.75">
      <c r="J270" s="5"/>
    </row>
    <row r="271" ht="12.75">
      <c r="J271" s="5"/>
    </row>
    <row r="272" ht="12.75">
      <c r="J272" s="5"/>
    </row>
    <row r="273" ht="12.75">
      <c r="J273" s="5"/>
    </row>
    <row r="274" ht="12.75">
      <c r="J274" s="5"/>
    </row>
    <row r="275" ht="12.75">
      <c r="J275" s="5"/>
    </row>
    <row r="276" ht="12.75">
      <c r="J276" s="5"/>
    </row>
    <row r="277" ht="12.75">
      <c r="J277" s="5"/>
    </row>
    <row r="278" ht="12.75">
      <c r="J278" s="5"/>
    </row>
    <row r="279" ht="12.75">
      <c r="J279" s="5"/>
    </row>
    <row r="280" ht="12.75">
      <c r="J280" s="5"/>
    </row>
    <row r="281" ht="12.75">
      <c r="J281" s="5"/>
    </row>
    <row r="282" ht="12.75">
      <c r="J282" s="5"/>
    </row>
    <row r="283" ht="12.75">
      <c r="J283" s="5"/>
    </row>
    <row r="284" ht="12.75">
      <c r="J284" s="5"/>
    </row>
    <row r="285" ht="12.75">
      <c r="J285" s="5"/>
    </row>
    <row r="286" ht="12.75">
      <c r="J286" s="5"/>
    </row>
    <row r="287" ht="12.75">
      <c r="J287" s="5"/>
    </row>
    <row r="288" ht="12.75">
      <c r="J288" s="5"/>
    </row>
    <row r="289" ht="12.75"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ht="12.75">
      <c r="J302" s="5"/>
    </row>
    <row r="303" ht="12.75">
      <c r="J303" s="5"/>
    </row>
    <row r="304" ht="12.75">
      <c r="J304" s="5"/>
    </row>
    <row r="305" ht="12.75">
      <c r="J305" s="5"/>
    </row>
    <row r="306" ht="12.75">
      <c r="J306" s="5"/>
    </row>
    <row r="307" ht="12.75">
      <c r="J307" s="5"/>
    </row>
    <row r="308" ht="12.75">
      <c r="J308" s="5"/>
    </row>
    <row r="309" ht="12.75">
      <c r="J309" s="5"/>
    </row>
    <row r="310" ht="12.75">
      <c r="J310" s="5"/>
    </row>
    <row r="311" ht="12.75">
      <c r="J311" s="5"/>
    </row>
    <row r="312" ht="12.75">
      <c r="J312" s="5"/>
    </row>
    <row r="313" ht="12.75">
      <c r="J313" s="5"/>
    </row>
    <row r="314" ht="12.75">
      <c r="J314" s="5"/>
    </row>
    <row r="315" ht="12.75">
      <c r="J315" s="5"/>
    </row>
    <row r="316" ht="12.75"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1" ht="12.75">
      <c r="J321" s="5"/>
    </row>
    <row r="322" ht="12.75">
      <c r="J322" s="5"/>
    </row>
    <row r="323" ht="12.75">
      <c r="J323" s="5"/>
    </row>
    <row r="324" ht="12.75">
      <c r="J324" s="5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  <row r="330" ht="12.75">
      <c r="J330" s="5"/>
    </row>
    <row r="331" ht="12.75">
      <c r="J331" s="5"/>
    </row>
    <row r="332" ht="12.75">
      <c r="J332" s="5"/>
    </row>
    <row r="333" ht="12.75">
      <c r="J333" s="5"/>
    </row>
    <row r="334" ht="12.75">
      <c r="J334" s="5"/>
    </row>
    <row r="335" ht="12.75">
      <c r="J335" s="5"/>
    </row>
    <row r="336" ht="12.75">
      <c r="J336" s="5"/>
    </row>
    <row r="337" ht="12.75">
      <c r="J337" s="5"/>
    </row>
    <row r="338" ht="12.75">
      <c r="J338" s="5"/>
    </row>
    <row r="339" ht="12.75">
      <c r="J339" s="5"/>
    </row>
    <row r="340" ht="12.75">
      <c r="J340" s="5"/>
    </row>
    <row r="341" ht="12.75">
      <c r="J341" s="5"/>
    </row>
    <row r="342" ht="12.75">
      <c r="J342" s="5"/>
    </row>
    <row r="343" ht="12.75">
      <c r="J343" s="5"/>
    </row>
    <row r="344" ht="12.75">
      <c r="J344" s="5"/>
    </row>
    <row r="345" ht="12.75">
      <c r="J345" s="5"/>
    </row>
    <row r="346" ht="12.75">
      <c r="J346" s="5"/>
    </row>
    <row r="347" ht="12.75">
      <c r="J347" s="5"/>
    </row>
    <row r="348" ht="12.75">
      <c r="J348" s="5"/>
    </row>
    <row r="349" ht="12.75">
      <c r="J349" s="5"/>
    </row>
    <row r="350" ht="12.75">
      <c r="J350" s="5"/>
    </row>
    <row r="351" ht="12.75">
      <c r="J351" s="5"/>
    </row>
    <row r="352" ht="12.75"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  <row r="693" ht="12.75">
      <c r="J693" s="5"/>
    </row>
    <row r="694" ht="12.75">
      <c r="J694" s="5"/>
    </row>
    <row r="695" ht="12.75">
      <c r="J695" s="5"/>
    </row>
    <row r="696" ht="12.75">
      <c r="J696" s="5"/>
    </row>
    <row r="697" ht="12.75">
      <c r="J697" s="5"/>
    </row>
    <row r="698" ht="12.75">
      <c r="J698" s="5"/>
    </row>
    <row r="699" ht="12.75">
      <c r="J699" s="5"/>
    </row>
    <row r="700" ht="12.75">
      <c r="J700" s="5"/>
    </row>
    <row r="701" ht="12.75">
      <c r="J701" s="5"/>
    </row>
    <row r="702" ht="12.75">
      <c r="J702" s="5"/>
    </row>
    <row r="703" ht="12.75">
      <c r="J703" s="5"/>
    </row>
    <row r="704" ht="12.75">
      <c r="J704" s="5"/>
    </row>
    <row r="705" ht="12.75">
      <c r="J705" s="5"/>
    </row>
    <row r="706" ht="12.75">
      <c r="J706" s="5"/>
    </row>
    <row r="707" ht="12.75">
      <c r="J707" s="5"/>
    </row>
    <row r="708" ht="12.75">
      <c r="J708" s="5"/>
    </row>
    <row r="709" ht="12.75">
      <c r="J709" s="5"/>
    </row>
    <row r="710" ht="12.75">
      <c r="J710" s="5"/>
    </row>
    <row r="711" ht="12.75">
      <c r="J711" s="5"/>
    </row>
    <row r="712" ht="12.75">
      <c r="J712" s="5"/>
    </row>
    <row r="713" ht="12.75">
      <c r="J713" s="5"/>
    </row>
    <row r="714" ht="12.75">
      <c r="J714" s="5"/>
    </row>
    <row r="715" ht="12.75">
      <c r="J715" s="5"/>
    </row>
    <row r="716" ht="12.75">
      <c r="J716" s="5"/>
    </row>
    <row r="717" ht="12.75">
      <c r="J717" s="5"/>
    </row>
    <row r="718" ht="12.75">
      <c r="J718" s="5"/>
    </row>
    <row r="719" ht="12.75">
      <c r="J719" s="5"/>
    </row>
    <row r="720" ht="12.75">
      <c r="J720" s="5"/>
    </row>
    <row r="721" ht="12.75">
      <c r="J721" s="5"/>
    </row>
    <row r="722" ht="12.75">
      <c r="J722" s="5"/>
    </row>
    <row r="723" ht="12.75">
      <c r="J723" s="5"/>
    </row>
    <row r="724" ht="12.75">
      <c r="J724" s="5"/>
    </row>
    <row r="725" ht="12.75">
      <c r="J725" s="5"/>
    </row>
    <row r="726" ht="12.75">
      <c r="J726" s="5"/>
    </row>
    <row r="727" ht="12.75">
      <c r="J727" s="5"/>
    </row>
    <row r="728" ht="12.75">
      <c r="J728" s="5"/>
    </row>
    <row r="729" ht="12.75">
      <c r="J729" s="5"/>
    </row>
    <row r="730" ht="12.75">
      <c r="J730" s="5"/>
    </row>
    <row r="731" ht="12.75">
      <c r="J731" s="5"/>
    </row>
    <row r="732" ht="12.75">
      <c r="J732" s="5"/>
    </row>
    <row r="733" ht="12.75">
      <c r="J733" s="5"/>
    </row>
    <row r="734" ht="12.75">
      <c r="J734" s="5"/>
    </row>
    <row r="735" ht="12.75">
      <c r="J735" s="5"/>
    </row>
    <row r="736" ht="12.75">
      <c r="J736" s="5"/>
    </row>
    <row r="737" ht="12.75">
      <c r="J737" s="5"/>
    </row>
    <row r="738" ht="12.75">
      <c r="J738" s="5"/>
    </row>
    <row r="739" ht="12.75">
      <c r="J739" s="5"/>
    </row>
    <row r="740" ht="12.75">
      <c r="J740" s="5"/>
    </row>
    <row r="741" ht="12.75">
      <c r="J741" s="5"/>
    </row>
    <row r="742" ht="12.75">
      <c r="J742" s="5"/>
    </row>
    <row r="743" ht="12.75">
      <c r="J743" s="5"/>
    </row>
    <row r="744" ht="12.75">
      <c r="J744" s="5"/>
    </row>
    <row r="745" ht="12.75">
      <c r="J745" s="5"/>
    </row>
    <row r="746" ht="12.75">
      <c r="J746" s="5"/>
    </row>
    <row r="747" ht="12.75">
      <c r="J747" s="5"/>
    </row>
    <row r="748" ht="12.75">
      <c r="J748" s="5"/>
    </row>
    <row r="749" ht="12.75">
      <c r="J749" s="5"/>
    </row>
    <row r="750" ht="12.75">
      <c r="J750" s="5"/>
    </row>
    <row r="751" ht="12.75">
      <c r="J751" s="5"/>
    </row>
    <row r="752" ht="12.75">
      <c r="J752" s="5"/>
    </row>
    <row r="753" ht="12.75">
      <c r="J753" s="5"/>
    </row>
    <row r="754" ht="12.75">
      <c r="J754" s="5"/>
    </row>
    <row r="755" ht="12.75">
      <c r="J755" s="5"/>
    </row>
    <row r="756" ht="12.75">
      <c r="J756" s="5"/>
    </row>
    <row r="757" ht="12.75">
      <c r="J757" s="5"/>
    </row>
    <row r="758" ht="12.75">
      <c r="J758" s="5"/>
    </row>
    <row r="759" ht="12.75">
      <c r="J759" s="5"/>
    </row>
    <row r="760" ht="12.75">
      <c r="J760" s="5"/>
    </row>
    <row r="761" ht="12.75">
      <c r="J761" s="5"/>
    </row>
    <row r="762" ht="12.75">
      <c r="J762" s="5"/>
    </row>
    <row r="763" ht="12.75">
      <c r="J763" s="5"/>
    </row>
    <row r="764" ht="12.75">
      <c r="J764" s="5"/>
    </row>
    <row r="765" ht="12.75">
      <c r="J765" s="5"/>
    </row>
    <row r="766" ht="12.75">
      <c r="J766" s="5"/>
    </row>
    <row r="767" ht="12.75">
      <c r="J767" s="5"/>
    </row>
    <row r="768" ht="12.75">
      <c r="J768" s="5"/>
    </row>
    <row r="769" ht="12.75">
      <c r="J769" s="5"/>
    </row>
    <row r="770" ht="12.75">
      <c r="J770" s="5"/>
    </row>
    <row r="771" ht="12.75">
      <c r="J771" s="5"/>
    </row>
    <row r="772" ht="12.75">
      <c r="J772" s="5"/>
    </row>
    <row r="773" ht="12.75">
      <c r="J773" s="5"/>
    </row>
    <row r="774" ht="12.75">
      <c r="J774" s="5"/>
    </row>
    <row r="775" ht="12.75">
      <c r="J775" s="5"/>
    </row>
    <row r="776" ht="12.75">
      <c r="J776" s="5"/>
    </row>
    <row r="777" ht="12.75">
      <c r="J777" s="5"/>
    </row>
    <row r="778" ht="12.75">
      <c r="J778" s="5"/>
    </row>
    <row r="779" ht="12.75">
      <c r="J779" s="5"/>
    </row>
    <row r="780" ht="12.75">
      <c r="J780" s="5"/>
    </row>
    <row r="781" ht="12.75">
      <c r="J781" s="5"/>
    </row>
    <row r="782" ht="12.75">
      <c r="J782" s="5"/>
    </row>
    <row r="783" ht="12.75">
      <c r="J783" s="5"/>
    </row>
    <row r="784" ht="12.75">
      <c r="J784" s="5"/>
    </row>
    <row r="785" ht="12.75">
      <c r="J785" s="5"/>
    </row>
    <row r="786" ht="12.75">
      <c r="J786" s="5"/>
    </row>
    <row r="787" ht="12.75">
      <c r="J787" s="5"/>
    </row>
    <row r="788" ht="12.75">
      <c r="J788" s="5"/>
    </row>
    <row r="789" ht="12.75">
      <c r="J789" s="5"/>
    </row>
    <row r="790" ht="12.75">
      <c r="J790" s="5"/>
    </row>
    <row r="791" ht="12.75">
      <c r="J791" s="5"/>
    </row>
    <row r="792" ht="12.75">
      <c r="J792" s="5"/>
    </row>
    <row r="793" ht="12.75">
      <c r="J793" s="5"/>
    </row>
    <row r="794" ht="12.75">
      <c r="J794" s="5"/>
    </row>
    <row r="795" ht="12.75">
      <c r="J795" s="5"/>
    </row>
    <row r="796" ht="12.75">
      <c r="J796" s="5"/>
    </row>
    <row r="797" ht="12.75">
      <c r="J797" s="5"/>
    </row>
    <row r="798" ht="12.75">
      <c r="J798" s="5"/>
    </row>
    <row r="799" ht="12.75">
      <c r="J799" s="5"/>
    </row>
    <row r="800" ht="12.75">
      <c r="J800" s="5"/>
    </row>
    <row r="801" ht="12.75">
      <c r="J801" s="5"/>
    </row>
    <row r="802" ht="12.75">
      <c r="J802" s="5"/>
    </row>
    <row r="803" ht="12.75">
      <c r="J803" s="5"/>
    </row>
    <row r="804" ht="12.75">
      <c r="J804" s="5"/>
    </row>
    <row r="805" ht="12.75">
      <c r="J805" s="5"/>
    </row>
    <row r="806" ht="12.75">
      <c r="J806" s="5"/>
    </row>
    <row r="807" ht="12.75">
      <c r="J807" s="5"/>
    </row>
    <row r="808" ht="12.75">
      <c r="J808" s="5"/>
    </row>
    <row r="809" ht="12.75">
      <c r="J809" s="5"/>
    </row>
    <row r="810" ht="12.75">
      <c r="J810" s="5"/>
    </row>
    <row r="811" ht="12.75">
      <c r="J811" s="5"/>
    </row>
    <row r="812" ht="12.75">
      <c r="J812" s="5"/>
    </row>
    <row r="813" ht="12.75">
      <c r="J813" s="5"/>
    </row>
    <row r="814" ht="12.75">
      <c r="J814" s="5"/>
    </row>
    <row r="815" ht="12.75">
      <c r="J815" s="5"/>
    </row>
    <row r="816" ht="12.75">
      <c r="J816" s="5"/>
    </row>
    <row r="817" ht="12.75">
      <c r="J817" s="5"/>
    </row>
    <row r="818" ht="12.75">
      <c r="J818" s="5"/>
    </row>
    <row r="819" ht="12.75">
      <c r="J819" s="5"/>
    </row>
    <row r="820" ht="12.75">
      <c r="J820" s="5"/>
    </row>
    <row r="821" ht="12.75">
      <c r="J821" s="5"/>
    </row>
    <row r="822" ht="12.75">
      <c r="J822" s="5"/>
    </row>
    <row r="823" ht="12.75">
      <c r="J823" s="5"/>
    </row>
    <row r="824" ht="12.75">
      <c r="J824" s="5"/>
    </row>
    <row r="825" ht="12.75">
      <c r="J825" s="5"/>
    </row>
    <row r="826" ht="12.75">
      <c r="J826" s="5"/>
    </row>
    <row r="827" ht="12.75">
      <c r="J827" s="5"/>
    </row>
    <row r="828" ht="12.75">
      <c r="J828" s="5"/>
    </row>
    <row r="829" ht="12.75">
      <c r="J829" s="5"/>
    </row>
    <row r="830" ht="12.75">
      <c r="J830" s="5"/>
    </row>
    <row r="831" ht="12.75">
      <c r="J831" s="5"/>
    </row>
    <row r="832" ht="12.75">
      <c r="J832" s="5"/>
    </row>
    <row r="833" ht="12.75">
      <c r="J833" s="5"/>
    </row>
    <row r="834" ht="12.75">
      <c r="J834" s="5"/>
    </row>
    <row r="835" ht="12.75">
      <c r="J835" s="5"/>
    </row>
    <row r="836" ht="12.75">
      <c r="J836" s="5"/>
    </row>
    <row r="837" ht="12.75">
      <c r="J837" s="5"/>
    </row>
    <row r="838" ht="12.75">
      <c r="J838" s="5"/>
    </row>
    <row r="839" ht="12.75">
      <c r="J839" s="5"/>
    </row>
    <row r="840" ht="12.75">
      <c r="J840" s="5"/>
    </row>
    <row r="841" ht="12.75">
      <c r="J841" s="5"/>
    </row>
    <row r="842" ht="12.75">
      <c r="J842" s="5"/>
    </row>
    <row r="843" ht="12.75">
      <c r="J843" s="5"/>
    </row>
    <row r="844" ht="12.75">
      <c r="J844" s="5"/>
    </row>
    <row r="845" ht="12.75">
      <c r="J845" s="5"/>
    </row>
    <row r="846" ht="12.75">
      <c r="J846" s="5"/>
    </row>
    <row r="847" ht="12.75">
      <c r="J847" s="5"/>
    </row>
    <row r="848" ht="12.75">
      <c r="J848" s="5"/>
    </row>
    <row r="849" ht="12.75">
      <c r="J849" s="5"/>
    </row>
    <row r="850" ht="12.75">
      <c r="J850" s="5"/>
    </row>
    <row r="851" ht="12.75">
      <c r="J851" s="5"/>
    </row>
    <row r="852" ht="12.75">
      <c r="J852" s="5"/>
    </row>
    <row r="853" ht="12.75">
      <c r="J853" s="5"/>
    </row>
    <row r="854" ht="12.75">
      <c r="J854" s="5"/>
    </row>
    <row r="855" ht="12.75">
      <c r="J855" s="5"/>
    </row>
    <row r="856" ht="12.75">
      <c r="J856" s="5"/>
    </row>
    <row r="857" ht="12.75">
      <c r="J857" s="5"/>
    </row>
    <row r="858" ht="12.75">
      <c r="J858" s="5"/>
    </row>
    <row r="859" ht="12.75">
      <c r="J859" s="5"/>
    </row>
    <row r="860" ht="12.75">
      <c r="J860" s="5"/>
    </row>
    <row r="861" ht="12.75">
      <c r="J861" s="5"/>
    </row>
    <row r="862" ht="12.75">
      <c r="J862" s="5"/>
    </row>
    <row r="863" ht="12.75">
      <c r="J863" s="5"/>
    </row>
    <row r="864" ht="12.75">
      <c r="J864" s="5"/>
    </row>
    <row r="865" ht="12.75">
      <c r="J865" s="5"/>
    </row>
    <row r="866" ht="12.75">
      <c r="J866" s="5"/>
    </row>
    <row r="867" ht="12.75">
      <c r="J867" s="5"/>
    </row>
    <row r="868" ht="12.75">
      <c r="J868" s="5"/>
    </row>
    <row r="869" ht="12.75">
      <c r="J869" s="5"/>
    </row>
    <row r="870" ht="12.75">
      <c r="J870" s="5"/>
    </row>
    <row r="871" ht="12.75">
      <c r="J871" s="5"/>
    </row>
    <row r="872" ht="12.75">
      <c r="J872" s="5"/>
    </row>
    <row r="873" ht="12.75">
      <c r="J873" s="5"/>
    </row>
    <row r="874" ht="12.75">
      <c r="J874" s="5"/>
    </row>
    <row r="875" ht="12.75">
      <c r="J875" s="5"/>
    </row>
    <row r="876" ht="12.75">
      <c r="J876" s="5"/>
    </row>
    <row r="877" ht="12.75">
      <c r="J877" s="5"/>
    </row>
    <row r="878" ht="12.75">
      <c r="J878" s="5"/>
    </row>
    <row r="879" ht="12.75">
      <c r="J879" s="5"/>
    </row>
    <row r="880" ht="12.75">
      <c r="J880" s="5"/>
    </row>
    <row r="881" ht="12.75">
      <c r="J881" s="5"/>
    </row>
    <row r="882" ht="12.75">
      <c r="J882" s="5"/>
    </row>
    <row r="883" ht="12.75">
      <c r="J883" s="5"/>
    </row>
    <row r="884" ht="12.75">
      <c r="J884" s="5"/>
    </row>
    <row r="885" ht="12.75">
      <c r="J885" s="5"/>
    </row>
    <row r="886" ht="12.75">
      <c r="J886" s="5"/>
    </row>
    <row r="887" ht="12.75">
      <c r="J887" s="5"/>
    </row>
    <row r="888" ht="12.75">
      <c r="J888" s="5"/>
    </row>
    <row r="889" ht="12.75">
      <c r="J889" s="5"/>
    </row>
    <row r="890" ht="12.75">
      <c r="J890" s="5"/>
    </row>
    <row r="891" ht="12.75">
      <c r="J891" s="5"/>
    </row>
    <row r="892" ht="12.75">
      <c r="J892" s="5"/>
    </row>
    <row r="893" ht="12.75">
      <c r="J893" s="5"/>
    </row>
    <row r="894" ht="12.75">
      <c r="J894" s="5"/>
    </row>
    <row r="895" ht="12.75">
      <c r="J895" s="5"/>
    </row>
    <row r="896" ht="12.75">
      <c r="J896" s="5"/>
    </row>
    <row r="897" ht="12.75">
      <c r="J897" s="5"/>
    </row>
    <row r="898" ht="12.75">
      <c r="J898" s="5"/>
    </row>
    <row r="899" ht="12.75">
      <c r="J899" s="5"/>
    </row>
    <row r="900" ht="12.75">
      <c r="J900" s="5"/>
    </row>
    <row r="901" ht="12.75">
      <c r="J901" s="5"/>
    </row>
    <row r="902" ht="12.75">
      <c r="J902" s="5"/>
    </row>
    <row r="903" ht="12.75">
      <c r="J903" s="5"/>
    </row>
    <row r="904" ht="12.75">
      <c r="J904" s="5"/>
    </row>
    <row r="905" ht="12.75">
      <c r="J905" s="5"/>
    </row>
    <row r="906" ht="12.75">
      <c r="J906" s="5"/>
    </row>
  </sheetData>
  <sheetProtection/>
  <mergeCells count="171">
    <mergeCell ref="X81:Y81"/>
    <mergeCell ref="R67:S67"/>
    <mergeCell ref="O81:P81"/>
    <mergeCell ref="X77:Y77"/>
    <mergeCell ref="X59:Y59"/>
    <mergeCell ref="G27:H27"/>
    <mergeCell ref="G35:H35"/>
    <mergeCell ref="G53:H53"/>
    <mergeCell ref="O48:P48"/>
    <mergeCell ref="O59:P59"/>
    <mergeCell ref="R47:S47"/>
    <mergeCell ref="G50:H50"/>
    <mergeCell ref="U63:V63"/>
    <mergeCell ref="O63:P63"/>
    <mergeCell ref="AA81:AB81"/>
    <mergeCell ref="AA77:AB77"/>
    <mergeCell ref="R77:S77"/>
    <mergeCell ref="O67:P67"/>
    <mergeCell ref="R81:S81"/>
    <mergeCell ref="O77:P77"/>
    <mergeCell ref="U77:V77"/>
    <mergeCell ref="AA67:AB67"/>
    <mergeCell ref="X67:Y67"/>
    <mergeCell ref="U81:V81"/>
    <mergeCell ref="E1:G1"/>
    <mergeCell ref="G51:H51"/>
    <mergeCell ref="G58:H58"/>
    <mergeCell ref="G56:H56"/>
    <mergeCell ref="G42:H42"/>
    <mergeCell ref="G37:H37"/>
    <mergeCell ref="F23:F26"/>
    <mergeCell ref="G10:H10"/>
    <mergeCell ref="G9:H9"/>
    <mergeCell ref="G12:H12"/>
    <mergeCell ref="U67:V67"/>
    <mergeCell ref="U48:V48"/>
    <mergeCell ref="AA13:AB13"/>
    <mergeCell ref="AA18:AB18"/>
    <mergeCell ref="X38:Y38"/>
    <mergeCell ref="X13:Y13"/>
    <mergeCell ref="AA38:AB38"/>
    <mergeCell ref="AA48:AB48"/>
    <mergeCell ref="X63:Y63"/>
    <mergeCell ref="X48:Y48"/>
    <mergeCell ref="U3:V3"/>
    <mergeCell ref="U4:V4"/>
    <mergeCell ref="U6:V6"/>
    <mergeCell ref="U62:V62"/>
    <mergeCell ref="U19:V19"/>
    <mergeCell ref="U33:V33"/>
    <mergeCell ref="U38:V38"/>
    <mergeCell ref="U47:V47"/>
    <mergeCell ref="G66:H66"/>
    <mergeCell ref="G68:H68"/>
    <mergeCell ref="G69:H69"/>
    <mergeCell ref="F68:F69"/>
    <mergeCell ref="G57:H57"/>
    <mergeCell ref="G54:H54"/>
    <mergeCell ref="G64:H64"/>
    <mergeCell ref="G55:H55"/>
    <mergeCell ref="G60:H60"/>
    <mergeCell ref="R48:S48"/>
    <mergeCell ref="G41:H41"/>
    <mergeCell ref="G44:H44"/>
    <mergeCell ref="G43:H43"/>
    <mergeCell ref="R3:S3"/>
    <mergeCell ref="G14:H14"/>
    <mergeCell ref="R4:S4"/>
    <mergeCell ref="R6:S6"/>
    <mergeCell ref="O3:P3"/>
    <mergeCell ref="O7:P7"/>
    <mergeCell ref="O4:P4"/>
    <mergeCell ref="J3:K3"/>
    <mergeCell ref="J4:K4"/>
    <mergeCell ref="G8:H8"/>
    <mergeCell ref="G83:H83"/>
    <mergeCell ref="G78:H78"/>
    <mergeCell ref="G79:H79"/>
    <mergeCell ref="G80:H80"/>
    <mergeCell ref="G82:H82"/>
    <mergeCell ref="AA62:AB62"/>
    <mergeCell ref="G76:H76"/>
    <mergeCell ref="G73:H73"/>
    <mergeCell ref="G75:H75"/>
    <mergeCell ref="G74:H74"/>
    <mergeCell ref="G72:H72"/>
    <mergeCell ref="G70:H70"/>
    <mergeCell ref="O62:P62"/>
    <mergeCell ref="G71:H71"/>
    <mergeCell ref="G65:H65"/>
    <mergeCell ref="G11:H11"/>
    <mergeCell ref="AD81:AE81"/>
    <mergeCell ref="AD62:AE62"/>
    <mergeCell ref="AD63:AE63"/>
    <mergeCell ref="AD67:AE67"/>
    <mergeCell ref="AD77:AE77"/>
    <mergeCell ref="R62:S62"/>
    <mergeCell ref="R63:S63"/>
    <mergeCell ref="X62:Y62"/>
    <mergeCell ref="AA63:AB63"/>
    <mergeCell ref="O18:P18"/>
    <mergeCell ref="AA7:AB7"/>
    <mergeCell ref="AA4:AB4"/>
    <mergeCell ref="X6:Y6"/>
    <mergeCell ref="O6:P6"/>
    <mergeCell ref="B4:D5"/>
    <mergeCell ref="E4:E5"/>
    <mergeCell ref="F4:F5"/>
    <mergeCell ref="G5:H5"/>
    <mergeCell ref="O13:P13"/>
    <mergeCell ref="AD38:AE38"/>
    <mergeCell ref="AD59:AE59"/>
    <mergeCell ref="AD48:AE48"/>
    <mergeCell ref="R59:S59"/>
    <mergeCell ref="AA59:AB59"/>
    <mergeCell ref="U59:V59"/>
    <mergeCell ref="R13:S13"/>
    <mergeCell ref="R19:S19"/>
    <mergeCell ref="U13:V13"/>
    <mergeCell ref="G52:H52"/>
    <mergeCell ref="G15:H15"/>
    <mergeCell ref="G39:H39"/>
    <mergeCell ref="G40:H40"/>
    <mergeCell ref="G23:H23"/>
    <mergeCell ref="G32:H32"/>
    <mergeCell ref="G16:H16"/>
    <mergeCell ref="G30:H30"/>
    <mergeCell ref="G26:H26"/>
    <mergeCell ref="G49:H49"/>
    <mergeCell ref="G20:H20"/>
    <mergeCell ref="G29:H29"/>
    <mergeCell ref="G36:H36"/>
    <mergeCell ref="G24:H24"/>
    <mergeCell ref="G31:H31"/>
    <mergeCell ref="G28:H28"/>
    <mergeCell ref="G34:H34"/>
    <mergeCell ref="G25:H25"/>
    <mergeCell ref="G21:H21"/>
    <mergeCell ref="G22:H22"/>
    <mergeCell ref="O47:P47"/>
    <mergeCell ref="G45:H45"/>
    <mergeCell ref="O33:P33"/>
    <mergeCell ref="O38:P38"/>
    <mergeCell ref="AD33:AE33"/>
    <mergeCell ref="R33:S33"/>
    <mergeCell ref="AA33:AB33"/>
    <mergeCell ref="AA47:AB47"/>
    <mergeCell ref="X33:Y33"/>
    <mergeCell ref="AD47:AE47"/>
    <mergeCell ref="X47:Y47"/>
    <mergeCell ref="R38:S38"/>
    <mergeCell ref="R18:S18"/>
    <mergeCell ref="X18:Y18"/>
    <mergeCell ref="AA19:AB19"/>
    <mergeCell ref="X7:Y7"/>
    <mergeCell ref="U7:V7"/>
    <mergeCell ref="X4:Y4"/>
    <mergeCell ref="AD19:AE19"/>
    <mergeCell ref="AD18:AE18"/>
    <mergeCell ref="U18:V18"/>
    <mergeCell ref="AA6:AB6"/>
    <mergeCell ref="AA3:AB3"/>
    <mergeCell ref="O19:P19"/>
    <mergeCell ref="X19:Y19"/>
    <mergeCell ref="AD3:AE3"/>
    <mergeCell ref="AD4:AE4"/>
    <mergeCell ref="AD6:AE6"/>
    <mergeCell ref="AD7:AE7"/>
    <mergeCell ref="AD13:AE13"/>
    <mergeCell ref="R7:S7"/>
    <mergeCell ref="X3:Y3"/>
  </mergeCells>
  <printOptions horizontalCentered="1" verticalCentered="1"/>
  <pageMargins left="0.4724409448818898" right="0.5118110236220472" top="0.3937007874015748" bottom="0.5118110236220472" header="0.35433070866141736" footer="0.2755905511811024"/>
  <pageSetup horizontalDpi="300" verticalDpi="300" orientation="portrait" paperSize="9" scale="98" r:id="rId4"/>
  <headerFooter alignWithMargins="0">
    <oddFooter>&amp;LLebensministerium&amp;C&amp;P / &amp;N&amp;R&amp;D</oddFooter>
  </headerFooter>
  <rowBreaks count="1" manualBreakCount="1">
    <brk id="46" min="1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37.421875" style="205" customWidth="1"/>
    <col min="2" max="2" width="65.8515625" style="205" customWidth="1"/>
    <col min="3" max="3" width="11.421875" style="246" customWidth="1"/>
    <col min="4" max="4" width="0" style="205" hidden="1" customWidth="1"/>
    <col min="5" max="16384" width="11.421875" style="205" customWidth="1"/>
  </cols>
  <sheetData>
    <row r="1" spans="1:3" s="248" customFormat="1" ht="24.75" customHeight="1">
      <c r="A1" s="619" t="s">
        <v>123</v>
      </c>
      <c r="B1" s="619"/>
      <c r="C1" s="619"/>
    </row>
    <row r="2" spans="1:3" ht="7.5" customHeight="1" thickBot="1">
      <c r="A2" s="213"/>
      <c r="B2" s="213"/>
      <c r="C2" s="213"/>
    </row>
    <row r="3" spans="1:3" s="248" customFormat="1" ht="24.75" customHeight="1" thickBot="1">
      <c r="A3" s="326" t="s">
        <v>151</v>
      </c>
      <c r="B3" s="464" t="s">
        <v>152</v>
      </c>
      <c r="C3" s="295" t="s">
        <v>153</v>
      </c>
    </row>
    <row r="4" spans="1:4" s="248" customFormat="1" ht="24.75" customHeight="1">
      <c r="A4" s="465" t="s">
        <v>154</v>
      </c>
      <c r="B4" s="296" t="s">
        <v>155</v>
      </c>
      <c r="C4" s="542"/>
      <c r="D4" s="248">
        <v>0</v>
      </c>
    </row>
    <row r="5" spans="1:4" s="248" customFormat="1" ht="24.75" customHeight="1">
      <c r="A5" s="465" t="s">
        <v>156</v>
      </c>
      <c r="B5" s="296"/>
      <c r="C5" s="500"/>
      <c r="D5" s="248">
        <v>1</v>
      </c>
    </row>
    <row r="6" spans="1:3" s="248" customFormat="1" ht="24.75" customHeight="1">
      <c r="A6" s="465" t="s">
        <v>157</v>
      </c>
      <c r="B6" s="296" t="s">
        <v>158</v>
      </c>
      <c r="C6" s="500"/>
    </row>
    <row r="7" spans="1:3" s="248" customFormat="1" ht="24.75" customHeight="1">
      <c r="A7" s="465" t="s">
        <v>159</v>
      </c>
      <c r="B7" s="296" t="s">
        <v>158</v>
      </c>
      <c r="C7" s="500"/>
    </row>
    <row r="8" spans="1:3" s="248" customFormat="1" ht="24.75" customHeight="1">
      <c r="A8" s="465" t="s">
        <v>160</v>
      </c>
      <c r="B8" s="296" t="s">
        <v>158</v>
      </c>
      <c r="C8" s="500"/>
    </row>
    <row r="9" spans="1:3" s="248" customFormat="1" ht="24.75" customHeight="1">
      <c r="A9" s="465" t="s">
        <v>161</v>
      </c>
      <c r="B9" s="296"/>
      <c r="C9" s="500"/>
    </row>
    <row r="10" spans="1:3" s="248" customFormat="1" ht="24.75" customHeight="1">
      <c r="A10" s="465" t="s">
        <v>162</v>
      </c>
      <c r="B10" s="296"/>
      <c r="C10" s="500"/>
    </row>
    <row r="11" spans="1:3" s="248" customFormat="1" ht="24.75" customHeight="1">
      <c r="A11" s="465" t="s">
        <v>163</v>
      </c>
      <c r="B11" s="296"/>
      <c r="C11" s="500"/>
    </row>
    <row r="12" spans="1:3" s="248" customFormat="1" ht="24.75" customHeight="1">
      <c r="A12" s="465" t="s">
        <v>164</v>
      </c>
      <c r="B12" s="296"/>
      <c r="C12" s="500"/>
    </row>
    <row r="13" spans="1:3" s="248" customFormat="1" ht="24.75" customHeight="1">
      <c r="A13" s="465" t="s">
        <v>165</v>
      </c>
      <c r="B13" s="296"/>
      <c r="C13" s="500"/>
    </row>
    <row r="14" spans="1:3" s="248" customFormat="1" ht="24.75" customHeight="1">
      <c r="A14" s="465" t="s">
        <v>166</v>
      </c>
      <c r="B14" s="296"/>
      <c r="C14" s="500"/>
    </row>
    <row r="15" spans="1:3" s="248" customFormat="1" ht="24.75" customHeight="1">
      <c r="A15" s="465" t="s">
        <v>167</v>
      </c>
      <c r="B15" s="296"/>
      <c r="C15" s="500"/>
    </row>
    <row r="16" spans="1:3" s="248" customFormat="1" ht="24.75" customHeight="1">
      <c r="A16" s="465" t="s">
        <v>168</v>
      </c>
      <c r="B16" s="296"/>
      <c r="C16" s="500"/>
    </row>
    <row r="17" spans="1:3" s="248" customFormat="1" ht="38.25" customHeight="1">
      <c r="A17" s="465" t="s">
        <v>169</v>
      </c>
      <c r="B17" s="296"/>
      <c r="C17" s="500"/>
    </row>
    <row r="18" spans="1:3" s="248" customFormat="1" ht="24.75" customHeight="1">
      <c r="A18" s="465" t="s">
        <v>170</v>
      </c>
      <c r="B18" s="296"/>
      <c r="C18" s="500"/>
    </row>
    <row r="19" spans="1:3" s="248" customFormat="1" ht="24.75" customHeight="1">
      <c r="A19" s="465" t="s">
        <v>171</v>
      </c>
      <c r="B19" s="296"/>
      <c r="C19" s="500"/>
    </row>
    <row r="20" spans="1:3" s="248" customFormat="1" ht="24.75" customHeight="1">
      <c r="A20" s="465" t="s">
        <v>172</v>
      </c>
      <c r="B20" s="296"/>
      <c r="C20" s="500"/>
    </row>
    <row r="21" spans="1:3" s="311" customFormat="1" ht="30" customHeight="1" thickBot="1">
      <c r="A21" s="466" t="s">
        <v>47</v>
      </c>
      <c r="B21" s="358"/>
      <c r="C21" s="359">
        <f>IF(SUM(C4:C20)&lt;=15,SUM(C4:C20),15)</f>
        <v>0</v>
      </c>
    </row>
    <row r="22" spans="1:3" ht="14.25" customHeight="1" thickBot="1">
      <c r="A22" s="617" t="s">
        <v>173</v>
      </c>
      <c r="B22" s="618"/>
      <c r="C22" s="467"/>
    </row>
  </sheetData>
  <sheetProtection password="CFBB" sheet="1"/>
  <mergeCells count="2">
    <mergeCell ref="A22:B22"/>
    <mergeCell ref="A1:C1"/>
  </mergeCells>
  <dataValidations count="1">
    <dataValidation type="list" allowBlank="1" showInputMessage="1" showErrorMessage="1" errorTitle="Falscher Wert!" error="Bitte geben Sie eine Zahl zwischen 0-1 ein." sqref="C4:C20">
      <formula1>$D$4:$D$5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5" sqref="C5:C8"/>
    </sheetView>
  </sheetViews>
  <sheetFormatPr defaultColWidth="11.421875" defaultRowHeight="12.75"/>
  <cols>
    <col min="1" max="1" width="90.28125" style="205" bestFit="1" customWidth="1"/>
    <col min="2" max="2" width="11.421875" style="205" customWidth="1"/>
    <col min="3" max="3" width="25.00390625" style="205" customWidth="1"/>
    <col min="4" max="4" width="11.421875" style="205" hidden="1" customWidth="1"/>
    <col min="5" max="5" width="0" style="205" hidden="1" customWidth="1"/>
    <col min="6" max="16384" width="11.421875" style="205" customWidth="1"/>
  </cols>
  <sheetData>
    <row r="1" spans="1:3" s="248" customFormat="1" ht="24.75" customHeight="1">
      <c r="A1" s="619" t="s">
        <v>136</v>
      </c>
      <c r="B1" s="619"/>
      <c r="C1" s="619"/>
    </row>
    <row r="2" spans="1:3" ht="7.5" customHeight="1" thickBot="1">
      <c r="A2" s="213"/>
      <c r="B2" s="213"/>
      <c r="C2" s="213"/>
    </row>
    <row r="3" spans="1:3" ht="39" thickBot="1">
      <c r="A3" s="469" t="s">
        <v>174</v>
      </c>
      <c r="B3" s="470" t="s">
        <v>175</v>
      </c>
      <c r="C3" s="471" t="s">
        <v>176</v>
      </c>
    </row>
    <row r="4" spans="1:5" s="248" customFormat="1" ht="24.75" customHeight="1">
      <c r="A4" s="456" t="s">
        <v>177</v>
      </c>
      <c r="B4" s="247">
        <v>15</v>
      </c>
      <c r="C4" s="531"/>
      <c r="D4" s="248">
        <v>0</v>
      </c>
      <c r="E4" s="248">
        <v>0</v>
      </c>
    </row>
    <row r="5" spans="1:5" s="248" customFormat="1" ht="24.75" customHeight="1">
      <c r="A5" s="251" t="s">
        <v>178</v>
      </c>
      <c r="B5" s="249"/>
      <c r="C5" s="620"/>
      <c r="D5" s="248">
        <v>15</v>
      </c>
      <c r="E5" s="248">
        <v>2</v>
      </c>
    </row>
    <row r="6" spans="1:5" s="248" customFormat="1" ht="24.75" customHeight="1">
      <c r="A6" s="252" t="s">
        <v>179</v>
      </c>
      <c r="B6" s="249">
        <v>10</v>
      </c>
      <c r="C6" s="621"/>
      <c r="E6" s="248">
        <v>5</v>
      </c>
    </row>
    <row r="7" spans="1:5" s="248" customFormat="1" ht="24.75" customHeight="1">
      <c r="A7" s="252" t="s">
        <v>180</v>
      </c>
      <c r="B7" s="249">
        <v>5</v>
      </c>
      <c r="C7" s="621"/>
      <c r="E7" s="248">
        <v>10</v>
      </c>
    </row>
    <row r="8" spans="1:3" s="248" customFormat="1" ht="24.75" customHeight="1">
      <c r="A8" s="457" t="s">
        <v>486</v>
      </c>
      <c r="B8" s="247">
        <v>2</v>
      </c>
      <c r="C8" s="621"/>
    </row>
    <row r="9" spans="1:4" s="248" customFormat="1" ht="24.75" customHeight="1">
      <c r="A9" s="533" t="s">
        <v>487</v>
      </c>
      <c r="B9" s="250"/>
      <c r="C9" s="621"/>
      <c r="D9" s="248">
        <v>0</v>
      </c>
    </row>
    <row r="10" spans="1:4" s="248" customFormat="1" ht="24.75" customHeight="1">
      <c r="A10" s="252" t="s">
        <v>181</v>
      </c>
      <c r="B10" s="249">
        <v>20</v>
      </c>
      <c r="C10" s="621"/>
      <c r="D10" s="248">
        <v>10</v>
      </c>
    </row>
    <row r="11" spans="1:4" s="248" customFormat="1" ht="24.75" customHeight="1">
      <c r="A11" s="252" t="s">
        <v>182</v>
      </c>
      <c r="B11" s="249">
        <v>15</v>
      </c>
      <c r="C11" s="621"/>
      <c r="D11" s="248">
        <v>15</v>
      </c>
    </row>
    <row r="12" spans="1:4" s="248" customFormat="1" ht="24.75" customHeight="1">
      <c r="A12" s="457" t="s">
        <v>183</v>
      </c>
      <c r="B12" s="247">
        <v>10</v>
      </c>
      <c r="C12" s="621"/>
      <c r="D12" s="248">
        <v>20</v>
      </c>
    </row>
    <row r="13" spans="1:4" s="248" customFormat="1" ht="24.75" customHeight="1">
      <c r="A13" s="252" t="s">
        <v>488</v>
      </c>
      <c r="B13" s="249"/>
      <c r="C13" s="621"/>
      <c r="D13" s="248">
        <v>0</v>
      </c>
    </row>
    <row r="14" spans="1:4" s="248" customFormat="1" ht="24.75" customHeight="1">
      <c r="A14" s="252" t="s">
        <v>489</v>
      </c>
      <c r="B14" s="249">
        <v>35</v>
      </c>
      <c r="C14" s="621"/>
      <c r="D14" s="248">
        <v>10</v>
      </c>
    </row>
    <row r="15" spans="1:4" s="248" customFormat="1" ht="24.75" customHeight="1">
      <c r="A15" s="252" t="s">
        <v>490</v>
      </c>
      <c r="B15" s="249">
        <v>25</v>
      </c>
      <c r="C15" s="621"/>
      <c r="D15" s="248">
        <v>25</v>
      </c>
    </row>
    <row r="16" spans="1:4" s="248" customFormat="1" ht="24.75" customHeight="1">
      <c r="A16" s="252" t="s">
        <v>491</v>
      </c>
      <c r="B16" s="249">
        <v>10</v>
      </c>
      <c r="C16" s="621"/>
      <c r="D16" s="248">
        <v>35</v>
      </c>
    </row>
    <row r="17" spans="1:3" s="248" customFormat="1" ht="24.75" customHeight="1">
      <c r="A17" s="458" t="s">
        <v>184</v>
      </c>
      <c r="B17" s="250"/>
      <c r="C17" s="621"/>
    </row>
    <row r="18" spans="1:4" s="248" customFormat="1" ht="24.75" customHeight="1">
      <c r="A18" s="252" t="s">
        <v>185</v>
      </c>
      <c r="B18" s="249"/>
      <c r="C18" s="621"/>
      <c r="D18" s="248">
        <v>0</v>
      </c>
    </row>
    <row r="19" spans="1:4" s="248" customFormat="1" ht="24.75" customHeight="1">
      <c r="A19" s="252" t="s">
        <v>186</v>
      </c>
      <c r="B19" s="249">
        <v>40</v>
      </c>
      <c r="C19" s="621"/>
      <c r="D19" s="248">
        <v>10</v>
      </c>
    </row>
    <row r="20" spans="1:4" s="248" customFormat="1" ht="24.75" customHeight="1">
      <c r="A20" s="252" t="s">
        <v>187</v>
      </c>
      <c r="B20" s="249">
        <v>10</v>
      </c>
      <c r="C20" s="621"/>
      <c r="D20" s="248">
        <v>40</v>
      </c>
    </row>
    <row r="21" spans="1:3" s="248" customFormat="1" ht="24.75" customHeight="1">
      <c r="A21" s="458" t="s">
        <v>188</v>
      </c>
      <c r="B21" s="250"/>
      <c r="C21" s="534"/>
    </row>
    <row r="22" spans="1:5" s="248" customFormat="1" ht="24.75" customHeight="1">
      <c r="A22" s="252" t="s">
        <v>189</v>
      </c>
      <c r="B22" s="249">
        <v>10</v>
      </c>
      <c r="C22" s="535"/>
      <c r="D22" s="248">
        <v>0</v>
      </c>
      <c r="E22" s="248">
        <v>0</v>
      </c>
    </row>
    <row r="23" spans="1:5" s="248" customFormat="1" ht="24.75" customHeight="1">
      <c r="A23" s="252" t="s">
        <v>190</v>
      </c>
      <c r="B23" s="249">
        <v>10</v>
      </c>
      <c r="C23" s="535"/>
      <c r="D23" s="248">
        <v>10</v>
      </c>
      <c r="E23" s="248">
        <v>5</v>
      </c>
    </row>
    <row r="24" spans="1:3" s="248" customFormat="1" ht="24.75" customHeight="1">
      <c r="A24" s="457" t="s">
        <v>191</v>
      </c>
      <c r="B24" s="247">
        <v>5</v>
      </c>
      <c r="C24" s="530"/>
    </row>
    <row r="25" spans="1:3" s="357" customFormat="1" ht="39.75" customHeight="1" thickBot="1">
      <c r="A25" s="360" t="s">
        <v>192</v>
      </c>
      <c r="B25" s="361"/>
      <c r="C25" s="359">
        <f>IF(SUM(C4:C24)&lt;120,SUM(C4:C24),120)</f>
        <v>0</v>
      </c>
    </row>
    <row r="26" spans="1:3" ht="12.75">
      <c r="A26" s="459"/>
      <c r="B26" s="207"/>
      <c r="C26" s="460"/>
    </row>
    <row r="27" spans="1:3" ht="12.75">
      <c r="A27" s="461" t="s">
        <v>193</v>
      </c>
      <c r="B27" s="207"/>
      <c r="C27" s="460"/>
    </row>
    <row r="28" spans="1:3" ht="13.5" thickBot="1">
      <c r="A28" s="462" t="s">
        <v>194</v>
      </c>
      <c r="B28" s="463"/>
      <c r="C28" s="403"/>
    </row>
  </sheetData>
  <sheetProtection password="CFBB" sheet="1"/>
  <mergeCells count="5">
    <mergeCell ref="C17:C20"/>
    <mergeCell ref="A1:C1"/>
    <mergeCell ref="C5:C8"/>
    <mergeCell ref="C9:C12"/>
    <mergeCell ref="C13:C16"/>
  </mergeCells>
  <dataValidations count="8">
    <dataValidation type="list" allowBlank="1" showInputMessage="1" showErrorMessage="1" errorTitle="Falscher Wert!" error="Bitte geben Sie die Zahl  0 oder 15 ein." sqref="C4">
      <formula1>$D$4:$D$5</formula1>
    </dataValidation>
    <dataValidation type="list" allowBlank="1" showInputMessage="1" showErrorMessage="1" errorTitle="Falscher Wert!" error="Bitte geben Sie die Zahl 0,10,15 oder 20 ein." sqref="C9:C12">
      <formula1>$D$9:$D$12</formula1>
    </dataValidation>
    <dataValidation type="list" allowBlank="1" showInputMessage="1" showErrorMessage="1" errorTitle="Falscher Wert!" error="Bitte geben Sie die Zahl  0,10,25 oder 35 ein." sqref="C13:C16">
      <formula1>$D$13:$D$16</formula1>
    </dataValidation>
    <dataValidation type="list" allowBlank="1" showInputMessage="1" showErrorMessage="1" errorTitle="Falscher Wert!" error="Bitte geben Sie die Zahl 0,10 oder 40 ein." sqref="C17:C20">
      <formula1>$D$18:$D$20</formula1>
    </dataValidation>
    <dataValidation type="list" allowBlank="1" showInputMessage="1" showErrorMessage="1" errorTitle="Falscher Wert!" error="Bitte geben Sie die Zahl 0 oder 5 ein." sqref="C24">
      <formula1>$E$22:$E$23</formula1>
    </dataValidation>
    <dataValidation type="list" allowBlank="1" showInputMessage="1" showErrorMessage="1" errorTitle="Falscher Wert!" error="Bitte geben Sie die Zahl 0 oder 10 ein." sqref="C23">
      <formula1>$D$22:$D$23</formula1>
    </dataValidation>
    <dataValidation type="list" allowBlank="1" showInputMessage="1" showErrorMessage="1" errorTitle="Falscher Wert!" error="Bitte geben Sie die Zahl  0, 2, 5 oder 10 ein." sqref="C5:C8">
      <formula1>$E$4:$E$7</formula1>
    </dataValidation>
    <dataValidation type="list" allowBlank="1" showInputMessage="1" showErrorMessage="1" errorTitle="Falscher Wert!" error="Bitte geben Sie die Zahl  0 oder 10 ein." sqref="C22">
      <formula1>$D$22:$D$23</formula1>
    </dataValidation>
  </dataValidations>
  <hyperlinks>
    <hyperlink ref="A27" location="_ftnref1" display="_ftnref1"/>
    <hyperlink ref="A5" location="_ftn1" display="_ftn1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28.421875" style="253" customWidth="1"/>
    <col min="2" max="2" width="12.7109375" style="253" customWidth="1"/>
    <col min="3" max="3" width="10.7109375" style="253" customWidth="1"/>
    <col min="4" max="4" width="10.28125" style="253" customWidth="1"/>
    <col min="5" max="5" width="7.28125" style="253" customWidth="1"/>
    <col min="6" max="6" width="11.421875" style="253" customWidth="1"/>
    <col min="7" max="7" width="25.57421875" style="253" bestFit="1" customWidth="1"/>
    <col min="8" max="8" width="19.28125" style="253" customWidth="1"/>
    <col min="9" max="9" width="16.57421875" style="253" bestFit="1" customWidth="1"/>
    <col min="10" max="16384" width="11.421875" style="253" customWidth="1"/>
  </cols>
  <sheetData>
    <row r="1" s="283" customFormat="1" ht="24.75" customHeight="1">
      <c r="A1" s="282" t="s">
        <v>127</v>
      </c>
    </row>
    <row r="2" ht="7.5" customHeight="1" thickBot="1"/>
    <row r="3" spans="1:8" s="283" customFormat="1" ht="24.75" customHeight="1">
      <c r="A3" s="432" t="s">
        <v>267</v>
      </c>
      <c r="B3" s="433"/>
      <c r="C3" s="433"/>
      <c r="D3" s="433"/>
      <c r="E3" s="433"/>
      <c r="F3" s="433"/>
      <c r="G3" s="433"/>
      <c r="H3" s="434"/>
    </row>
    <row r="4" spans="1:8" ht="6.75" customHeight="1">
      <c r="A4" s="435"/>
      <c r="B4" s="254"/>
      <c r="C4" s="254"/>
      <c r="D4" s="254"/>
      <c r="E4" s="254"/>
      <c r="F4" s="254"/>
      <c r="G4" s="254"/>
      <c r="H4" s="436"/>
    </row>
    <row r="5" spans="1:8" s="283" customFormat="1" ht="24.75" customHeight="1">
      <c r="A5" s="437" t="s">
        <v>268</v>
      </c>
      <c r="B5" s="630"/>
      <c r="C5" s="631"/>
      <c r="D5" s="632"/>
      <c r="E5" s="286"/>
      <c r="F5" s="287" t="s">
        <v>269</v>
      </c>
      <c r="G5" s="286"/>
      <c r="H5" s="438"/>
    </row>
    <row r="6" spans="1:8" s="283" customFormat="1" ht="24.75" customHeight="1">
      <c r="A6" s="437" t="s">
        <v>405</v>
      </c>
      <c r="B6" s="633"/>
      <c r="C6" s="633"/>
      <c r="D6" s="633"/>
      <c r="E6" s="123"/>
      <c r="F6" s="123" t="s">
        <v>271</v>
      </c>
      <c r="G6" s="123"/>
      <c r="H6" s="439"/>
    </row>
    <row r="7" spans="1:8" s="283" customFormat="1" ht="24.75" customHeight="1">
      <c r="A7" s="437" t="s">
        <v>272</v>
      </c>
      <c r="B7" s="633"/>
      <c r="C7" s="633"/>
      <c r="D7" s="633"/>
      <c r="E7" s="123"/>
      <c r="F7" s="123" t="s">
        <v>274</v>
      </c>
      <c r="G7" s="123"/>
      <c r="H7" s="439"/>
    </row>
    <row r="8" spans="1:8" ht="15.75" customHeight="1">
      <c r="A8" s="440">
        <f>IF(B7="","",VLOOKUP(B7,'[1]Gemeindetabelle'!B3:C112,2,FALSE))</f>
      </c>
      <c r="B8" s="255"/>
      <c r="C8" s="255"/>
      <c r="D8" s="255"/>
      <c r="E8" s="255"/>
      <c r="F8" s="255"/>
      <c r="G8" s="255"/>
      <c r="H8" s="441"/>
    </row>
    <row r="9" spans="1:8" ht="3.75" customHeight="1">
      <c r="A9" s="442"/>
      <c r="B9" s="255"/>
      <c r="C9" s="255"/>
      <c r="D9" s="255"/>
      <c r="E9" s="255"/>
      <c r="F9" s="255"/>
      <c r="G9" s="255"/>
      <c r="H9" s="441"/>
    </row>
    <row r="10" spans="1:8" s="283" customFormat="1" ht="24.75" customHeight="1">
      <c r="A10" s="437" t="s">
        <v>275</v>
      </c>
      <c r="B10" s="468"/>
      <c r="C10" s="123"/>
      <c r="D10" s="123"/>
      <c r="E10" s="123"/>
      <c r="F10" s="123"/>
      <c r="G10" s="123"/>
      <c r="H10" s="439"/>
    </row>
    <row r="11" spans="1:8" s="283" customFormat="1" ht="24.75" customHeight="1">
      <c r="A11" s="437" t="s">
        <v>276</v>
      </c>
      <c r="B11" s="468"/>
      <c r="C11" s="123"/>
      <c r="D11" s="123"/>
      <c r="E11" s="123"/>
      <c r="F11" s="123"/>
      <c r="G11" s="123"/>
      <c r="H11" s="439"/>
    </row>
    <row r="12" spans="1:8" s="283" customFormat="1" ht="24.75" customHeight="1">
      <c r="A12" s="437" t="s">
        <v>277</v>
      </c>
      <c r="B12" s="468"/>
      <c r="C12" s="123"/>
      <c r="D12" s="123"/>
      <c r="E12" s="123"/>
      <c r="F12" s="123"/>
      <c r="G12" s="123"/>
      <c r="H12" s="439"/>
    </row>
    <row r="13" spans="1:8" ht="7.5" customHeight="1">
      <c r="A13" s="443"/>
      <c r="B13" s="256"/>
      <c r="C13" s="256"/>
      <c r="D13" s="256"/>
      <c r="E13" s="256"/>
      <c r="F13" s="256"/>
      <c r="G13" s="256"/>
      <c r="H13" s="444"/>
    </row>
    <row r="14" spans="1:8" s="283" customFormat="1" ht="24.75" customHeight="1">
      <c r="A14" s="445" t="s">
        <v>278</v>
      </c>
      <c r="B14" s="123"/>
      <c r="C14" s="123"/>
      <c r="D14" s="123"/>
      <c r="E14" s="123"/>
      <c r="F14" s="123"/>
      <c r="G14" s="123"/>
      <c r="H14" s="439"/>
    </row>
    <row r="15" spans="1:8" s="283" customFormat="1" ht="24.75" customHeight="1">
      <c r="A15" s="446" t="s">
        <v>279</v>
      </c>
      <c r="B15" s="501"/>
      <c r="C15" s="288"/>
      <c r="D15" s="286"/>
      <c r="E15" s="286"/>
      <c r="F15" s="286"/>
      <c r="G15" s="286"/>
      <c r="H15" s="438"/>
    </row>
    <row r="16" spans="1:8" s="283" customFormat="1" ht="24.75" customHeight="1">
      <c r="A16" s="447" t="s">
        <v>280</v>
      </c>
      <c r="B16" s="362">
        <f>1-B15</f>
        <v>1</v>
      </c>
      <c r="C16" s="289"/>
      <c r="D16" s="290" t="s">
        <v>281</v>
      </c>
      <c r="E16" s="123"/>
      <c r="F16" s="123"/>
      <c r="G16" s="123"/>
      <c r="H16" s="439"/>
    </row>
    <row r="17" spans="1:8" s="283" customFormat="1" ht="24.75" customHeight="1">
      <c r="A17" s="447" t="s">
        <v>282</v>
      </c>
      <c r="B17" s="502"/>
      <c r="C17" s="503" t="s">
        <v>283</v>
      </c>
      <c r="D17" s="123"/>
      <c r="E17" s="123"/>
      <c r="F17" s="123"/>
      <c r="G17" s="123"/>
      <c r="H17" s="439"/>
    </row>
    <row r="18" spans="1:8" ht="9.75" customHeight="1">
      <c r="A18" s="448"/>
      <c r="B18" s="256"/>
      <c r="C18" s="256"/>
      <c r="D18" s="256"/>
      <c r="E18" s="256"/>
      <c r="F18" s="256"/>
      <c r="G18" s="256"/>
      <c r="H18" s="444"/>
    </row>
    <row r="19" spans="1:8" s="283" customFormat="1" ht="24.75" customHeight="1">
      <c r="A19" s="445" t="s">
        <v>480</v>
      </c>
      <c r="B19" s="123"/>
      <c r="C19" s="123"/>
      <c r="D19" s="123"/>
      <c r="E19" s="123"/>
      <c r="F19" s="123"/>
      <c r="G19" s="123"/>
      <c r="H19" s="439"/>
    </row>
    <row r="20" spans="1:8" ht="7.5" customHeight="1">
      <c r="A20" s="435"/>
      <c r="B20" s="254"/>
      <c r="C20" s="254"/>
      <c r="D20" s="254"/>
      <c r="E20" s="254"/>
      <c r="F20" s="254"/>
      <c r="G20" s="254"/>
      <c r="H20" s="436"/>
    </row>
    <row r="21" spans="1:8" ht="28.5" customHeight="1">
      <c r="A21" s="449"/>
      <c r="B21" s="634" t="s">
        <v>481</v>
      </c>
      <c r="C21" s="635"/>
      <c r="D21" s="634" t="s">
        <v>482</v>
      </c>
      <c r="E21" s="635"/>
      <c r="F21" s="257"/>
      <c r="G21" s="255"/>
      <c r="H21" s="441"/>
    </row>
    <row r="22" spans="1:8" s="283" customFormat="1" ht="24.75" customHeight="1">
      <c r="A22" s="437" t="s">
        <v>284</v>
      </c>
      <c r="B22" s="625" t="e">
        <f>CEILING(IF(B6&lt;&gt;'[2]A.1.5-1'!A8,(VLOOKUP(B6,'[2]A.1.5-1'!A3:J8,2,FALSE)*B10+VLOOKUP(B6,'[2]A.1.5-1'!A3:J8,4,FALSE)*B10+VLOOKUP(B6,'[2]A.1.5-1'!A3:J8,6,FALSE)*B11)*VLOOKUP(B7,'[2]A.1-5-2'!A4:C113,3,FALSE),(VLOOKUP(B6,'[2]A.1.5-1'!A3:J8,2,FALSE)*B10+VLOOKUP(B6,'[2]A.1.5-1'!A3:J8,4,FALSE)*'[2]A.1.5'!B12+VLOOKUP(B6,'[2]A.1.5-1'!A3:J8,6,FALSE)*B11)*VLOOKUP(B7,'[2]A.1-5-2'!A4:C113,3,FALSE)),1)</f>
        <v>#N/A</v>
      </c>
      <c r="C22" s="626"/>
      <c r="D22" s="627" t="e">
        <f>B22*B15*2*0.8+B22*B16*2*0.45&amp;" m²"</f>
        <v>#N/A</v>
      </c>
      <c r="E22" s="627"/>
      <c r="F22" s="258" t="e">
        <f>IF(AND(VLOOKUP(B6,'[1]Objektabelle'!B3:K8,4,FALSE)*B10&lt;1,VLOOKUP(B6,'[1]Objektabelle'!B3:K8,4,FALSE)*B12&lt;1)," Wichtig: Stellfläche muss vollständig überdacht sein!","  davon  "&amp;IF(B6&lt;&gt;'[1]Objektabelle'!B8,VLOOKUP(B6,'[1]Objektabelle'!B3:K8,4,FALSE)*B10,VLOOKUP(B6,'[1]Objektabelle'!B3:K8,4,FALSE)*B12)&amp;" m² Besucherplätze (=ebenerdig, eingangsnah, zu min. 50% überdacht)")</f>
        <v>#N/A</v>
      </c>
      <c r="G22" s="123"/>
      <c r="H22" s="439"/>
    </row>
    <row r="23" spans="1:8" s="283" customFormat="1" ht="24.75" customHeight="1">
      <c r="A23" s="437" t="s">
        <v>285</v>
      </c>
      <c r="B23" s="625" t="e">
        <f>CEILING(IF(B6&lt;&gt;'[2]A.1.5-1'!A8,(VLOOKUP(B6,'[2]A.1.5-1'!A3:J8,3,FALSE)*B10+VLOOKUP(B6,'[2]A.1.5-1'!A3:J8,5,FALSE)*B10+VLOOKUP(B6,'[2]A.1.5-1'!A3:J8,7,FALSE)*B11)*VLOOKUP(B7,'[2]A.1-5-2'!A4:C113,3,FALSE),(VLOOKUP(B6,'[2]A.1.5-1'!A3:J8,3,FALSE)*B10+VLOOKUP(B6,'[2]A.1.5-1'!A3:J8,5,FALSE)*'[2]A.1.5'!B12+VLOOKUP(B6,'[2]A.1.5-1'!A3:J8,7,FALSE)*B11)*VLOOKUP(B7,'[2]A.1-5-2'!A4:C113,3,FALSE)),1)</f>
        <v>#N/A</v>
      </c>
      <c r="C23" s="626"/>
      <c r="D23" s="627" t="e">
        <f>B23*B15*0.8*2+B23*B16*2*0.45&amp;" m²"</f>
        <v>#N/A</v>
      </c>
      <c r="E23" s="627"/>
      <c r="F23" s="258" t="e">
        <f>IF(AND(VLOOKUP(B6,'[1]Objektabelle'!B3:K8,5,FALSE)*B10&lt;1,VLOOKUP(B6,'[1]Objektabelle'!B3:K8,5,FALSE)*B12&lt;1)," Wichtig:  Stellfläche muss vollständig überdacht sein!","  davon "&amp;IF(B6&lt;&gt;'[1]Objektabelle'!B8,VLOOKUP(B6,'[1]Objektabelle'!B3:K8,5,FALSE)*B10,VLOOKUP(B6,'[1]Objektabelle'!B3:K8,5,FALSE)*B12)&amp;" m² Besucherplätze (=ebenerdig, eingangsnah, mindestens 50% überdacht)")</f>
        <v>#N/A</v>
      </c>
      <c r="G23" s="123"/>
      <c r="H23" s="439"/>
    </row>
    <row r="24" spans="1:8" ht="8.25" customHeight="1">
      <c r="A24" s="448"/>
      <c r="B24" s="259"/>
      <c r="C24" s="259"/>
      <c r="D24" s="259"/>
      <c r="E24" s="259"/>
      <c r="F24" s="260"/>
      <c r="G24" s="256"/>
      <c r="H24" s="444"/>
    </row>
    <row r="25" spans="1:8" ht="10.5" customHeight="1">
      <c r="A25" s="442"/>
      <c r="B25" s="74"/>
      <c r="C25" s="74"/>
      <c r="D25" s="74"/>
      <c r="E25" s="74"/>
      <c r="F25" s="261"/>
      <c r="G25" s="255"/>
      <c r="H25" s="441"/>
    </row>
    <row r="26" spans="1:8" s="283" customFormat="1" ht="24.75" customHeight="1">
      <c r="A26" s="445" t="s">
        <v>286</v>
      </c>
      <c r="B26" s="74"/>
      <c r="C26" s="74"/>
      <c r="D26" s="74"/>
      <c r="E26" s="74"/>
      <c r="F26" s="450"/>
      <c r="G26" s="262"/>
      <c r="H26" s="451"/>
    </row>
    <row r="27" spans="1:8" ht="11.25" customHeight="1">
      <c r="A27" s="435"/>
      <c r="B27" s="263"/>
      <c r="C27" s="263"/>
      <c r="D27" s="263"/>
      <c r="E27" s="263"/>
      <c r="F27" s="264"/>
      <c r="G27" s="265"/>
      <c r="H27" s="452"/>
    </row>
    <row r="28" spans="1:8" s="283" customFormat="1" ht="24.75" customHeight="1">
      <c r="A28" s="622" t="s">
        <v>287</v>
      </c>
      <c r="B28" s="623"/>
      <c r="C28" s="624"/>
      <c r="D28" s="294">
        <v>15</v>
      </c>
      <c r="E28" s="291" t="e">
        <f>B22*B15*2*0.8+B22*B16*2*0.4</f>
        <v>#N/A</v>
      </c>
      <c r="F28" s="123"/>
      <c r="G28" s="123"/>
      <c r="H28" s="439"/>
    </row>
    <row r="29" spans="1:8" s="283" customFormat="1" ht="24.75" customHeight="1">
      <c r="A29" s="622" t="s">
        <v>288</v>
      </c>
      <c r="B29" s="623"/>
      <c r="C29" s="624"/>
      <c r="D29" s="294">
        <v>25</v>
      </c>
      <c r="E29" s="291" t="e">
        <f>B23*B15*0.8*2+B23*B16*2*0.45</f>
        <v>#N/A</v>
      </c>
      <c r="F29" s="123"/>
      <c r="G29" s="123"/>
      <c r="H29" s="439"/>
    </row>
    <row r="30" spans="1:8" s="283" customFormat="1" ht="24.75" customHeight="1">
      <c r="A30" s="628" t="s">
        <v>289</v>
      </c>
      <c r="B30" s="629"/>
      <c r="C30" s="629"/>
      <c r="D30" s="292" t="e">
        <f>IF(Planstand&lt;Min,0,IF(B17&gt;Max,Punktemax,Punktemax-(Punktemax-Punktemin)*(Max-Planstand)/(Max-Min)))</f>
        <v>#N/A</v>
      </c>
      <c r="E30" s="293" t="e">
        <f>IF(Planstand&lt;Min,"Mindestausstattung nicht erreicht!","")</f>
        <v>#N/A</v>
      </c>
      <c r="F30" s="123"/>
      <c r="G30" s="123"/>
      <c r="H30" s="439"/>
    </row>
    <row r="31" spans="1:8" ht="9" customHeight="1" thickBot="1">
      <c r="A31" s="453"/>
      <c r="B31" s="454"/>
      <c r="C31" s="454"/>
      <c r="D31" s="454"/>
      <c r="E31" s="454"/>
      <c r="F31" s="454"/>
      <c r="G31" s="454"/>
      <c r="H31" s="455"/>
    </row>
  </sheetData>
  <sheetProtection password="CFBB" sheet="1"/>
  <mergeCells count="12">
    <mergeCell ref="A30:C30"/>
    <mergeCell ref="B5:D5"/>
    <mergeCell ref="B6:D6"/>
    <mergeCell ref="B7:D7"/>
    <mergeCell ref="B21:C21"/>
    <mergeCell ref="D21:E21"/>
    <mergeCell ref="B22:C22"/>
    <mergeCell ref="D22:E22"/>
    <mergeCell ref="A28:C28"/>
    <mergeCell ref="A29:C29"/>
    <mergeCell ref="B23:C23"/>
    <mergeCell ref="D23:E23"/>
  </mergeCells>
  <dataValidations count="2">
    <dataValidation type="list" allowBlank="1" showInputMessage="1" showErrorMessage="1" sqref="B6:D6">
      <formula1>Gebaeudetyp</formula1>
    </dataValidation>
    <dataValidation type="list" allowBlank="1" showInputMessage="1" showErrorMessage="1" sqref="B7:D7">
      <formula1>Kommunen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4.57421875" style="253" bestFit="1" customWidth="1"/>
    <col min="2" max="2" width="12.140625" style="253" customWidth="1"/>
    <col min="3" max="3" width="15.28125" style="253" customWidth="1"/>
    <col min="4" max="4" width="11.7109375" style="253" customWidth="1"/>
    <col min="5" max="5" width="11.57421875" style="253" customWidth="1"/>
    <col min="6" max="6" width="18.421875" style="253" customWidth="1"/>
    <col min="7" max="7" width="18.57421875" style="253" customWidth="1"/>
    <col min="8" max="8" width="16.57421875" style="253" customWidth="1"/>
    <col min="9" max="9" width="17.421875" style="253" bestFit="1" customWidth="1"/>
    <col min="10" max="10" width="16.140625" style="253" customWidth="1"/>
    <col min="11" max="16384" width="11.421875" style="253" customWidth="1"/>
  </cols>
  <sheetData>
    <row r="1" spans="1:3" s="283" customFormat="1" ht="24.75" customHeight="1">
      <c r="A1" s="284" t="s">
        <v>476</v>
      </c>
      <c r="B1" s="284"/>
      <c r="C1" s="284"/>
    </row>
    <row r="2" spans="1:3" ht="7.5" customHeight="1" thickBot="1">
      <c r="A2" s="212"/>
      <c r="B2" s="212"/>
      <c r="C2" s="212"/>
    </row>
    <row r="3" spans="1:10" s="266" customFormat="1" ht="29.25" customHeight="1">
      <c r="A3" s="424" t="s">
        <v>405</v>
      </c>
      <c r="B3" s="425" t="s">
        <v>406</v>
      </c>
      <c r="C3" s="425" t="s">
        <v>407</v>
      </c>
      <c r="D3" s="425" t="s">
        <v>408</v>
      </c>
      <c r="E3" s="425" t="s">
        <v>409</v>
      </c>
      <c r="F3" s="425" t="s">
        <v>410</v>
      </c>
      <c r="G3" s="425" t="s">
        <v>411</v>
      </c>
      <c r="H3" s="425" t="s">
        <v>412</v>
      </c>
      <c r="I3" s="425" t="s">
        <v>413</v>
      </c>
      <c r="J3" s="426" t="s">
        <v>414</v>
      </c>
    </row>
    <row r="4" spans="1:10" s="266" customFormat="1" ht="25.5">
      <c r="A4" s="427" t="s">
        <v>415</v>
      </c>
      <c r="B4" s="267">
        <v>0.2</v>
      </c>
      <c r="C4" s="267">
        <v>0.4</v>
      </c>
      <c r="D4" s="267">
        <v>0.1</v>
      </c>
      <c r="E4" s="267">
        <v>0.2</v>
      </c>
      <c r="F4" s="267">
        <v>0</v>
      </c>
      <c r="G4" s="267">
        <v>0</v>
      </c>
      <c r="H4" s="267" t="s">
        <v>275</v>
      </c>
      <c r="I4" s="267"/>
      <c r="J4" s="428"/>
    </row>
    <row r="5" spans="1:10" s="266" customFormat="1" ht="24.75" customHeight="1">
      <c r="A5" s="427" t="s">
        <v>270</v>
      </c>
      <c r="B5" s="267">
        <v>0.5</v>
      </c>
      <c r="C5" s="267">
        <v>0.9</v>
      </c>
      <c r="D5" s="267">
        <v>0.1</v>
      </c>
      <c r="E5" s="267">
        <v>0.2</v>
      </c>
      <c r="F5" s="267">
        <v>0</v>
      </c>
      <c r="G5" s="267">
        <v>0</v>
      </c>
      <c r="H5" s="267" t="s">
        <v>275</v>
      </c>
      <c r="I5" s="267" t="s">
        <v>416</v>
      </c>
      <c r="J5" s="428"/>
    </row>
    <row r="6" spans="1:10" s="266" customFormat="1" ht="24.75" customHeight="1">
      <c r="A6" s="427" t="s">
        <v>417</v>
      </c>
      <c r="B6" s="267">
        <v>0.2</v>
      </c>
      <c r="C6" s="267">
        <v>0.6</v>
      </c>
      <c r="D6" s="267">
        <v>0</v>
      </c>
      <c r="E6" s="267">
        <v>0</v>
      </c>
      <c r="F6" s="267">
        <v>0.1</v>
      </c>
      <c r="G6" s="267">
        <v>0.2</v>
      </c>
      <c r="H6" s="267" t="s">
        <v>275</v>
      </c>
      <c r="I6" s="267" t="s">
        <v>416</v>
      </c>
      <c r="J6" s="428"/>
    </row>
    <row r="7" spans="1:10" s="266" customFormat="1" ht="24.75" customHeight="1">
      <c r="A7" s="427" t="s">
        <v>418</v>
      </c>
      <c r="B7" s="267">
        <v>0.2</v>
      </c>
      <c r="C7" s="267">
        <v>0.6</v>
      </c>
      <c r="D7" s="267">
        <v>0</v>
      </c>
      <c r="E7" s="267">
        <v>0</v>
      </c>
      <c r="F7" s="267">
        <v>0.6</v>
      </c>
      <c r="G7" s="267">
        <v>0.9</v>
      </c>
      <c r="H7" s="267" t="s">
        <v>275</v>
      </c>
      <c r="I7" s="267" t="s">
        <v>416</v>
      </c>
      <c r="J7" s="428"/>
    </row>
    <row r="8" spans="1:10" s="266" customFormat="1" ht="24.75" customHeight="1" thickBot="1">
      <c r="A8" s="429" t="s">
        <v>419</v>
      </c>
      <c r="B8" s="430">
        <v>0.2</v>
      </c>
      <c r="C8" s="430">
        <v>0.4</v>
      </c>
      <c r="D8" s="430">
        <v>0.05</v>
      </c>
      <c r="E8" s="430">
        <v>0.1</v>
      </c>
      <c r="F8" s="430">
        <v>0</v>
      </c>
      <c r="G8" s="430">
        <v>0</v>
      </c>
      <c r="H8" s="430" t="s">
        <v>275</v>
      </c>
      <c r="I8" s="430"/>
      <c r="J8" s="431" t="s">
        <v>420</v>
      </c>
    </row>
    <row r="47" ht="15.75">
      <c r="B47" s="212"/>
    </row>
  </sheetData>
  <sheetProtection password="CFBB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25.57421875" style="269" bestFit="1" customWidth="1"/>
    <col min="2" max="2" width="71.140625" style="269" customWidth="1"/>
    <col min="3" max="3" width="7.8515625" style="270" customWidth="1"/>
    <col min="4" max="16384" width="11.421875" style="253" customWidth="1"/>
  </cols>
  <sheetData>
    <row r="1" spans="1:3" s="283" customFormat="1" ht="24.75" customHeight="1">
      <c r="A1" s="619" t="s">
        <v>475</v>
      </c>
      <c r="B1" s="619"/>
      <c r="C1" s="619"/>
    </row>
    <row r="2" spans="1:3" ht="7.5" customHeight="1" thickBot="1">
      <c r="A2" s="213"/>
      <c r="B2" s="213"/>
      <c r="C2" s="213"/>
    </row>
    <row r="3" spans="1:3" ht="15" customHeight="1">
      <c r="A3" s="412" t="s">
        <v>290</v>
      </c>
      <c r="B3" s="413" t="s">
        <v>291</v>
      </c>
      <c r="C3" s="414" t="s">
        <v>292</v>
      </c>
    </row>
    <row r="4" spans="1:3" ht="15" customHeight="1">
      <c r="A4" s="415" t="s">
        <v>293</v>
      </c>
      <c r="B4" s="268" t="s">
        <v>294</v>
      </c>
      <c r="C4" s="416">
        <v>0.6</v>
      </c>
    </row>
    <row r="5" spans="1:3" ht="15" customHeight="1">
      <c r="A5" s="415" t="s">
        <v>295</v>
      </c>
      <c r="B5" s="268" t="s">
        <v>296</v>
      </c>
      <c r="C5" s="417">
        <v>1</v>
      </c>
    </row>
    <row r="6" spans="1:3" ht="15" customHeight="1">
      <c r="A6" s="415" t="s">
        <v>297</v>
      </c>
      <c r="B6" s="268" t="s">
        <v>294</v>
      </c>
      <c r="C6" s="416">
        <v>0.6</v>
      </c>
    </row>
    <row r="7" spans="1:3" ht="15" customHeight="1">
      <c r="A7" s="415" t="s">
        <v>298</v>
      </c>
      <c r="B7" s="268" t="s">
        <v>294</v>
      </c>
      <c r="C7" s="416">
        <v>0.6</v>
      </c>
    </row>
    <row r="8" spans="1:3" ht="15" customHeight="1">
      <c r="A8" s="415" t="s">
        <v>299</v>
      </c>
      <c r="B8" s="268" t="s">
        <v>300</v>
      </c>
      <c r="C8" s="418">
        <v>0.2</v>
      </c>
    </row>
    <row r="9" spans="1:3" ht="15" customHeight="1">
      <c r="A9" s="415" t="s">
        <v>301</v>
      </c>
      <c r="B9" s="268" t="s">
        <v>294</v>
      </c>
      <c r="C9" s="416">
        <v>0.6</v>
      </c>
    </row>
    <row r="10" spans="1:3" ht="15" customHeight="1">
      <c r="A10" s="415" t="s">
        <v>302</v>
      </c>
      <c r="B10" s="268" t="s">
        <v>300</v>
      </c>
      <c r="C10" s="418">
        <v>0.2</v>
      </c>
    </row>
    <row r="11" spans="1:3" ht="15" customHeight="1">
      <c r="A11" s="415" t="s">
        <v>303</v>
      </c>
      <c r="B11" s="268" t="s">
        <v>294</v>
      </c>
      <c r="C11" s="416">
        <v>0.6</v>
      </c>
    </row>
    <row r="12" spans="1:3" ht="15" customHeight="1">
      <c r="A12" s="415" t="s">
        <v>304</v>
      </c>
      <c r="B12" s="268" t="s">
        <v>300</v>
      </c>
      <c r="C12" s="418">
        <v>0.2</v>
      </c>
    </row>
    <row r="13" spans="1:3" ht="15" customHeight="1">
      <c r="A13" s="415" t="s">
        <v>305</v>
      </c>
      <c r="B13" s="268" t="s">
        <v>296</v>
      </c>
      <c r="C13" s="416">
        <v>1</v>
      </c>
    </row>
    <row r="14" spans="1:3" ht="15" customHeight="1">
      <c r="A14" s="415" t="s">
        <v>306</v>
      </c>
      <c r="B14" s="268" t="s">
        <v>296</v>
      </c>
      <c r="C14" s="416">
        <v>1</v>
      </c>
    </row>
    <row r="15" spans="1:3" ht="15" customHeight="1">
      <c r="A15" s="415" t="s">
        <v>307</v>
      </c>
      <c r="B15" s="268" t="s">
        <v>300</v>
      </c>
      <c r="C15" s="418">
        <v>0.2</v>
      </c>
    </row>
    <row r="16" spans="1:3" ht="15" customHeight="1">
      <c r="A16" s="415" t="s">
        <v>308</v>
      </c>
      <c r="B16" s="268" t="s">
        <v>296</v>
      </c>
      <c r="C16" s="416">
        <v>1</v>
      </c>
    </row>
    <row r="17" spans="1:3" ht="15" customHeight="1">
      <c r="A17" s="415" t="s">
        <v>309</v>
      </c>
      <c r="B17" s="268" t="s">
        <v>300</v>
      </c>
      <c r="C17" s="418">
        <v>0.2</v>
      </c>
    </row>
    <row r="18" spans="1:3" ht="15" customHeight="1">
      <c r="A18" s="415" t="s">
        <v>310</v>
      </c>
      <c r="B18" s="268" t="s">
        <v>300</v>
      </c>
      <c r="C18" s="418">
        <v>0.2</v>
      </c>
    </row>
    <row r="19" spans="1:3" ht="15" customHeight="1">
      <c r="A19" s="415" t="s">
        <v>311</v>
      </c>
      <c r="B19" s="268" t="s">
        <v>296</v>
      </c>
      <c r="C19" s="416">
        <v>1</v>
      </c>
    </row>
    <row r="20" spans="1:3" ht="15" customHeight="1">
      <c r="A20" s="415" t="s">
        <v>312</v>
      </c>
      <c r="B20" s="268" t="s">
        <v>300</v>
      </c>
      <c r="C20" s="418">
        <v>0.2</v>
      </c>
    </row>
    <row r="21" spans="1:3" ht="15" customHeight="1">
      <c r="A21" s="415" t="s">
        <v>313</v>
      </c>
      <c r="B21" s="268" t="s">
        <v>294</v>
      </c>
      <c r="C21" s="416">
        <v>0.6</v>
      </c>
    </row>
    <row r="22" spans="1:3" ht="15" customHeight="1">
      <c r="A22" s="415" t="s">
        <v>314</v>
      </c>
      <c r="B22" s="268" t="s">
        <v>300</v>
      </c>
      <c r="C22" s="418">
        <v>0.2</v>
      </c>
    </row>
    <row r="23" spans="1:3" ht="15" customHeight="1">
      <c r="A23" s="415" t="s">
        <v>315</v>
      </c>
      <c r="B23" s="268" t="s">
        <v>294</v>
      </c>
      <c r="C23" s="416">
        <v>0.6</v>
      </c>
    </row>
    <row r="24" spans="1:3" ht="15" customHeight="1">
      <c r="A24" s="415" t="s">
        <v>316</v>
      </c>
      <c r="B24" s="268" t="s">
        <v>294</v>
      </c>
      <c r="C24" s="416">
        <v>0.6</v>
      </c>
    </row>
    <row r="25" spans="1:3" ht="15" customHeight="1">
      <c r="A25" s="415" t="s">
        <v>317</v>
      </c>
      <c r="B25" s="268" t="s">
        <v>296</v>
      </c>
      <c r="C25" s="419">
        <v>1</v>
      </c>
    </row>
    <row r="26" spans="1:3" ht="15" customHeight="1">
      <c r="A26" s="415" t="s">
        <v>318</v>
      </c>
      <c r="B26" s="268" t="s">
        <v>300</v>
      </c>
      <c r="C26" s="418">
        <v>0.2</v>
      </c>
    </row>
    <row r="27" spans="1:3" ht="15" customHeight="1">
      <c r="A27" s="415" t="s">
        <v>319</v>
      </c>
      <c r="B27" s="268" t="s">
        <v>294</v>
      </c>
      <c r="C27" s="416">
        <v>0.6</v>
      </c>
    </row>
    <row r="28" spans="1:3" ht="15" customHeight="1">
      <c r="A28" s="415" t="s">
        <v>320</v>
      </c>
      <c r="B28" s="268" t="s">
        <v>300</v>
      </c>
      <c r="C28" s="418">
        <v>0.2</v>
      </c>
    </row>
    <row r="29" spans="1:3" ht="15" customHeight="1">
      <c r="A29" s="415" t="s">
        <v>321</v>
      </c>
      <c r="B29" s="268" t="s">
        <v>300</v>
      </c>
      <c r="C29" s="418">
        <v>0.2</v>
      </c>
    </row>
    <row r="30" spans="1:3" ht="15" customHeight="1">
      <c r="A30" s="415" t="s">
        <v>322</v>
      </c>
      <c r="B30" s="268" t="s">
        <v>294</v>
      </c>
      <c r="C30" s="416">
        <v>0.6</v>
      </c>
    </row>
    <row r="31" spans="1:3" ht="15" customHeight="1">
      <c r="A31" s="415" t="s">
        <v>323</v>
      </c>
      <c r="B31" s="268" t="s">
        <v>300</v>
      </c>
      <c r="C31" s="418">
        <v>0.2</v>
      </c>
    </row>
    <row r="32" spans="1:3" ht="15" customHeight="1">
      <c r="A32" s="415" t="s">
        <v>324</v>
      </c>
      <c r="B32" s="268" t="s">
        <v>296</v>
      </c>
      <c r="C32" s="416">
        <v>1</v>
      </c>
    </row>
    <row r="33" spans="1:3" ht="15" customHeight="1">
      <c r="A33" s="415" t="s">
        <v>325</v>
      </c>
      <c r="B33" s="268" t="s">
        <v>300</v>
      </c>
      <c r="C33" s="418">
        <v>0.2</v>
      </c>
    </row>
    <row r="34" spans="1:3" ht="15" customHeight="1">
      <c r="A34" s="415" t="s">
        <v>326</v>
      </c>
      <c r="B34" s="268" t="s">
        <v>296</v>
      </c>
      <c r="C34" s="416">
        <v>1</v>
      </c>
    </row>
    <row r="35" spans="1:3" ht="15" customHeight="1">
      <c r="A35" s="415" t="s">
        <v>327</v>
      </c>
      <c r="B35" s="268" t="s">
        <v>300</v>
      </c>
      <c r="C35" s="418">
        <v>0.2</v>
      </c>
    </row>
    <row r="36" spans="1:3" ht="15" customHeight="1">
      <c r="A36" s="415" t="s">
        <v>328</v>
      </c>
      <c r="B36" s="268" t="s">
        <v>300</v>
      </c>
      <c r="C36" s="418">
        <v>0.2</v>
      </c>
    </row>
    <row r="37" spans="1:3" ht="15" customHeight="1">
      <c r="A37" s="415" t="s">
        <v>329</v>
      </c>
      <c r="B37" s="268" t="s">
        <v>300</v>
      </c>
      <c r="C37" s="418">
        <v>0.2</v>
      </c>
    </row>
    <row r="38" spans="1:3" ht="15" customHeight="1">
      <c r="A38" s="415" t="s">
        <v>330</v>
      </c>
      <c r="B38" s="268" t="s">
        <v>300</v>
      </c>
      <c r="C38" s="418">
        <v>0.2</v>
      </c>
    </row>
    <row r="39" spans="1:3" ht="15" customHeight="1">
      <c r="A39" s="415" t="s">
        <v>331</v>
      </c>
      <c r="B39" s="268" t="s">
        <v>300</v>
      </c>
      <c r="C39" s="418">
        <v>0.2</v>
      </c>
    </row>
    <row r="40" spans="1:3" ht="15" customHeight="1">
      <c r="A40" s="415" t="s">
        <v>332</v>
      </c>
      <c r="B40" s="268" t="s">
        <v>296</v>
      </c>
      <c r="C40" s="416">
        <v>1</v>
      </c>
    </row>
    <row r="41" spans="1:3" ht="15" customHeight="1">
      <c r="A41" s="415" t="s">
        <v>333</v>
      </c>
      <c r="B41" s="268" t="s">
        <v>296</v>
      </c>
      <c r="C41" s="420">
        <v>1</v>
      </c>
    </row>
    <row r="42" spans="1:3" ht="15" customHeight="1">
      <c r="A42" s="415" t="s">
        <v>334</v>
      </c>
      <c r="B42" s="268" t="s">
        <v>294</v>
      </c>
      <c r="C42" s="416">
        <v>0.6</v>
      </c>
    </row>
    <row r="43" spans="1:3" ht="15" customHeight="1">
      <c r="A43" s="415" t="s">
        <v>335</v>
      </c>
      <c r="B43" s="268" t="s">
        <v>294</v>
      </c>
      <c r="C43" s="416">
        <v>0.6</v>
      </c>
    </row>
    <row r="44" spans="1:3" ht="15" customHeight="1">
      <c r="A44" s="415" t="s">
        <v>336</v>
      </c>
      <c r="B44" s="268" t="s">
        <v>296</v>
      </c>
      <c r="C44" s="419">
        <v>1</v>
      </c>
    </row>
    <row r="45" spans="1:3" ht="15" customHeight="1">
      <c r="A45" s="415" t="s">
        <v>337</v>
      </c>
      <c r="B45" s="268" t="s">
        <v>300</v>
      </c>
      <c r="C45" s="418">
        <v>0.2</v>
      </c>
    </row>
    <row r="46" spans="1:3" ht="15" customHeight="1">
      <c r="A46" s="415" t="s">
        <v>338</v>
      </c>
      <c r="B46" s="268" t="s">
        <v>296</v>
      </c>
      <c r="C46" s="420">
        <v>1</v>
      </c>
    </row>
    <row r="47" spans="1:3" ht="15" customHeight="1">
      <c r="A47" s="415" t="s">
        <v>339</v>
      </c>
      <c r="B47" s="268" t="s">
        <v>294</v>
      </c>
      <c r="C47" s="416">
        <v>0.6</v>
      </c>
    </row>
    <row r="48" spans="1:3" ht="15" customHeight="1">
      <c r="A48" s="415" t="s">
        <v>340</v>
      </c>
      <c r="B48" s="268" t="s">
        <v>296</v>
      </c>
      <c r="C48" s="419">
        <v>1</v>
      </c>
    </row>
    <row r="49" spans="1:3" ht="15" customHeight="1">
      <c r="A49" s="415" t="s">
        <v>341</v>
      </c>
      <c r="B49" s="268" t="s">
        <v>296</v>
      </c>
      <c r="C49" s="416">
        <v>1</v>
      </c>
    </row>
    <row r="50" spans="1:3" ht="15" customHeight="1">
      <c r="A50" s="415" t="s">
        <v>342</v>
      </c>
      <c r="B50" s="268" t="s">
        <v>300</v>
      </c>
      <c r="C50" s="418">
        <v>0.2</v>
      </c>
    </row>
    <row r="51" spans="1:3" ht="15" customHeight="1">
      <c r="A51" s="415" t="s">
        <v>343</v>
      </c>
      <c r="B51" s="268" t="s">
        <v>296</v>
      </c>
      <c r="C51" s="416">
        <v>1</v>
      </c>
    </row>
    <row r="52" spans="1:3" ht="15" customHeight="1">
      <c r="A52" s="415" t="s">
        <v>344</v>
      </c>
      <c r="B52" s="268" t="s">
        <v>296</v>
      </c>
      <c r="C52" s="420">
        <v>1</v>
      </c>
    </row>
    <row r="53" spans="1:3" ht="15" customHeight="1">
      <c r="A53" s="415" t="s">
        <v>345</v>
      </c>
      <c r="B53" s="268" t="s">
        <v>294</v>
      </c>
      <c r="C53" s="416">
        <v>0.6</v>
      </c>
    </row>
    <row r="54" spans="1:3" ht="15" customHeight="1">
      <c r="A54" s="415" t="s">
        <v>346</v>
      </c>
      <c r="B54" s="268" t="s">
        <v>296</v>
      </c>
      <c r="C54" s="419">
        <v>1</v>
      </c>
    </row>
    <row r="55" spans="1:3" ht="15" customHeight="1">
      <c r="A55" s="415" t="s">
        <v>347</v>
      </c>
      <c r="B55" s="268" t="s">
        <v>296</v>
      </c>
      <c r="C55" s="420">
        <v>1</v>
      </c>
    </row>
    <row r="56" spans="1:3" ht="15" customHeight="1">
      <c r="A56" s="415" t="s">
        <v>348</v>
      </c>
      <c r="B56" s="268" t="s">
        <v>294</v>
      </c>
      <c r="C56" s="416">
        <v>0.6</v>
      </c>
    </row>
    <row r="57" spans="1:3" ht="15" customHeight="1">
      <c r="A57" s="415" t="s">
        <v>349</v>
      </c>
      <c r="B57" s="268" t="s">
        <v>296</v>
      </c>
      <c r="C57" s="417">
        <v>1</v>
      </c>
    </row>
    <row r="58" spans="1:3" ht="15" customHeight="1">
      <c r="A58" s="415" t="s">
        <v>350</v>
      </c>
      <c r="B58" s="268" t="s">
        <v>294</v>
      </c>
      <c r="C58" s="416">
        <v>0.6</v>
      </c>
    </row>
    <row r="59" spans="1:3" ht="15" customHeight="1">
      <c r="A59" s="415" t="s">
        <v>351</v>
      </c>
      <c r="B59" s="268" t="s">
        <v>294</v>
      </c>
      <c r="C59" s="416">
        <v>0.6</v>
      </c>
    </row>
    <row r="60" spans="1:3" ht="15" customHeight="1">
      <c r="A60" s="415" t="s">
        <v>352</v>
      </c>
      <c r="B60" s="268" t="s">
        <v>294</v>
      </c>
      <c r="C60" s="416">
        <v>0.6</v>
      </c>
    </row>
    <row r="61" spans="1:3" ht="15" customHeight="1">
      <c r="A61" s="415" t="s">
        <v>353</v>
      </c>
      <c r="B61" s="268" t="s">
        <v>300</v>
      </c>
      <c r="C61" s="418">
        <v>0.2</v>
      </c>
    </row>
    <row r="62" spans="1:3" ht="15" customHeight="1">
      <c r="A62" s="415" t="s">
        <v>354</v>
      </c>
      <c r="B62" s="268" t="s">
        <v>296</v>
      </c>
      <c r="C62" s="420">
        <v>1</v>
      </c>
    </row>
    <row r="63" spans="1:3" ht="15" customHeight="1">
      <c r="A63" s="415" t="s">
        <v>355</v>
      </c>
      <c r="B63" s="268" t="s">
        <v>294</v>
      </c>
      <c r="C63" s="416">
        <v>0.6</v>
      </c>
    </row>
    <row r="64" spans="1:3" ht="15" customHeight="1">
      <c r="A64" s="415" t="s">
        <v>356</v>
      </c>
      <c r="B64" s="268" t="s">
        <v>294</v>
      </c>
      <c r="C64" s="416">
        <v>0.6</v>
      </c>
    </row>
    <row r="65" spans="1:3" ht="15" customHeight="1">
      <c r="A65" s="415" t="s">
        <v>357</v>
      </c>
      <c r="B65" s="268" t="s">
        <v>296</v>
      </c>
      <c r="C65" s="419">
        <v>1</v>
      </c>
    </row>
    <row r="66" spans="1:3" ht="15" customHeight="1">
      <c r="A66" s="415" t="s">
        <v>358</v>
      </c>
      <c r="B66" s="268" t="s">
        <v>296</v>
      </c>
      <c r="C66" s="416">
        <v>1</v>
      </c>
    </row>
    <row r="67" spans="1:3" ht="15" customHeight="1">
      <c r="A67" s="415" t="s">
        <v>359</v>
      </c>
      <c r="B67" s="268" t="s">
        <v>296</v>
      </c>
      <c r="C67" s="416">
        <v>1</v>
      </c>
    </row>
    <row r="68" spans="1:3" ht="15" customHeight="1">
      <c r="A68" s="415" t="s">
        <v>360</v>
      </c>
      <c r="B68" s="268" t="s">
        <v>296</v>
      </c>
      <c r="C68" s="416">
        <v>1</v>
      </c>
    </row>
    <row r="69" spans="1:3" ht="15" customHeight="1">
      <c r="A69" s="415" t="s">
        <v>361</v>
      </c>
      <c r="B69" s="268" t="s">
        <v>296</v>
      </c>
      <c r="C69" s="416">
        <v>1</v>
      </c>
    </row>
    <row r="70" spans="1:3" ht="15" customHeight="1">
      <c r="A70" s="415" t="s">
        <v>362</v>
      </c>
      <c r="B70" s="268" t="s">
        <v>296</v>
      </c>
      <c r="C70" s="420">
        <v>1</v>
      </c>
    </row>
    <row r="71" spans="1:3" ht="15" customHeight="1">
      <c r="A71" s="415" t="s">
        <v>363</v>
      </c>
      <c r="B71" s="268" t="s">
        <v>294</v>
      </c>
      <c r="C71" s="416">
        <v>0.6</v>
      </c>
    </row>
    <row r="72" spans="1:3" ht="15" customHeight="1">
      <c r="A72" s="415" t="s">
        <v>364</v>
      </c>
      <c r="B72" s="268" t="s">
        <v>294</v>
      </c>
      <c r="C72" s="416">
        <v>0.6</v>
      </c>
    </row>
    <row r="73" spans="1:3" ht="15" customHeight="1">
      <c r="A73" s="415" t="s">
        <v>365</v>
      </c>
      <c r="B73" s="268" t="s">
        <v>300</v>
      </c>
      <c r="C73" s="418">
        <v>0.2</v>
      </c>
    </row>
    <row r="74" spans="1:3" ht="15" customHeight="1">
      <c r="A74" s="415" t="s">
        <v>366</v>
      </c>
      <c r="B74" s="268" t="s">
        <v>296</v>
      </c>
      <c r="C74" s="416">
        <v>1</v>
      </c>
    </row>
    <row r="75" spans="1:3" ht="15" customHeight="1">
      <c r="A75" s="415" t="s">
        <v>367</v>
      </c>
      <c r="B75" s="268" t="s">
        <v>300</v>
      </c>
      <c r="C75" s="418">
        <v>0.2</v>
      </c>
    </row>
    <row r="76" spans="1:3" ht="15" customHeight="1">
      <c r="A76" s="415" t="s">
        <v>368</v>
      </c>
      <c r="B76" s="268" t="s">
        <v>300</v>
      </c>
      <c r="C76" s="418">
        <v>0.2</v>
      </c>
    </row>
    <row r="77" spans="1:3" ht="15" customHeight="1">
      <c r="A77" s="415" t="s">
        <v>369</v>
      </c>
      <c r="B77" s="268" t="s">
        <v>296</v>
      </c>
      <c r="C77" s="416">
        <v>1</v>
      </c>
    </row>
    <row r="78" spans="1:3" ht="15" customHeight="1">
      <c r="A78" s="415" t="s">
        <v>370</v>
      </c>
      <c r="B78" s="268" t="s">
        <v>300</v>
      </c>
      <c r="C78" s="418">
        <v>0.2</v>
      </c>
    </row>
    <row r="79" spans="1:3" ht="15" customHeight="1">
      <c r="A79" s="415" t="s">
        <v>371</v>
      </c>
      <c r="B79" s="268" t="s">
        <v>296</v>
      </c>
      <c r="C79" s="420">
        <v>1</v>
      </c>
    </row>
    <row r="80" spans="1:3" ht="15" customHeight="1">
      <c r="A80" s="415" t="s">
        <v>372</v>
      </c>
      <c r="B80" s="268" t="s">
        <v>294</v>
      </c>
      <c r="C80" s="416">
        <v>0.6</v>
      </c>
    </row>
    <row r="81" spans="1:3" ht="15" customHeight="1">
      <c r="A81" s="415" t="s">
        <v>373</v>
      </c>
      <c r="B81" s="268" t="s">
        <v>300</v>
      </c>
      <c r="C81" s="418">
        <v>0.2</v>
      </c>
    </row>
    <row r="82" spans="1:3" ht="15" customHeight="1">
      <c r="A82" s="415" t="s">
        <v>374</v>
      </c>
      <c r="B82" s="268" t="s">
        <v>300</v>
      </c>
      <c r="C82" s="418">
        <v>0.2</v>
      </c>
    </row>
    <row r="83" spans="1:3" ht="15" customHeight="1">
      <c r="A83" s="415" t="s">
        <v>375</v>
      </c>
      <c r="B83" s="268" t="s">
        <v>296</v>
      </c>
      <c r="C83" s="416">
        <v>1</v>
      </c>
    </row>
    <row r="84" spans="1:3" ht="15" customHeight="1">
      <c r="A84" s="415" t="s">
        <v>376</v>
      </c>
      <c r="B84" s="268" t="s">
        <v>296</v>
      </c>
      <c r="C84" s="416">
        <v>1</v>
      </c>
    </row>
    <row r="85" spans="1:3" ht="15" customHeight="1">
      <c r="A85" s="415" t="s">
        <v>377</v>
      </c>
      <c r="B85" s="268" t="s">
        <v>296</v>
      </c>
      <c r="C85" s="420">
        <v>1</v>
      </c>
    </row>
    <row r="86" spans="1:3" ht="15" customHeight="1">
      <c r="A86" s="415" t="s">
        <v>378</v>
      </c>
      <c r="B86" s="268" t="s">
        <v>294</v>
      </c>
      <c r="C86" s="416">
        <v>0.6</v>
      </c>
    </row>
    <row r="87" spans="1:3" ht="15" customHeight="1">
      <c r="A87" s="415" t="s">
        <v>379</v>
      </c>
      <c r="B87" s="268" t="s">
        <v>300</v>
      </c>
      <c r="C87" s="418">
        <v>0.2</v>
      </c>
    </row>
    <row r="88" spans="1:3" ht="15" customHeight="1">
      <c r="A88" s="415" t="s">
        <v>380</v>
      </c>
      <c r="B88" s="268" t="s">
        <v>294</v>
      </c>
      <c r="C88" s="416">
        <v>0.6</v>
      </c>
    </row>
    <row r="89" spans="1:3" ht="15" customHeight="1">
      <c r="A89" s="415" t="s">
        <v>381</v>
      </c>
      <c r="B89" s="268" t="s">
        <v>300</v>
      </c>
      <c r="C89" s="418">
        <v>0.2</v>
      </c>
    </row>
    <row r="90" spans="1:3" ht="15" customHeight="1">
      <c r="A90" s="415" t="s">
        <v>382</v>
      </c>
      <c r="B90" s="268" t="s">
        <v>294</v>
      </c>
      <c r="C90" s="416">
        <v>0.6</v>
      </c>
    </row>
    <row r="91" spans="1:3" ht="15" customHeight="1">
      <c r="A91" s="415" t="s">
        <v>383</v>
      </c>
      <c r="B91" s="268" t="s">
        <v>296</v>
      </c>
      <c r="C91" s="419">
        <v>1</v>
      </c>
    </row>
    <row r="92" spans="1:3" ht="15" customHeight="1">
      <c r="A92" s="415" t="s">
        <v>384</v>
      </c>
      <c r="B92" s="268" t="s">
        <v>300</v>
      </c>
      <c r="C92" s="418">
        <v>0.2</v>
      </c>
    </row>
    <row r="93" spans="1:3" ht="15" customHeight="1">
      <c r="A93" s="415" t="s">
        <v>385</v>
      </c>
      <c r="B93" s="268" t="s">
        <v>300</v>
      </c>
      <c r="C93" s="418">
        <v>0.2</v>
      </c>
    </row>
    <row r="94" spans="1:3" ht="15" customHeight="1">
      <c r="A94" s="415" t="s">
        <v>386</v>
      </c>
      <c r="B94" s="268" t="s">
        <v>300</v>
      </c>
      <c r="C94" s="418">
        <v>0.2</v>
      </c>
    </row>
    <row r="95" spans="1:3" ht="15" customHeight="1">
      <c r="A95" s="415" t="s">
        <v>387</v>
      </c>
      <c r="B95" s="268" t="s">
        <v>300</v>
      </c>
      <c r="C95" s="418">
        <v>0.2</v>
      </c>
    </row>
    <row r="96" spans="1:3" ht="15" customHeight="1">
      <c r="A96" s="415" t="s">
        <v>388</v>
      </c>
      <c r="B96" s="268" t="s">
        <v>294</v>
      </c>
      <c r="C96" s="416">
        <v>0.6</v>
      </c>
    </row>
    <row r="97" spans="1:3" ht="15" customHeight="1">
      <c r="A97" s="415" t="s">
        <v>389</v>
      </c>
      <c r="B97" s="268" t="s">
        <v>294</v>
      </c>
      <c r="C97" s="416">
        <v>0.6</v>
      </c>
    </row>
    <row r="98" spans="1:3" ht="15" customHeight="1">
      <c r="A98" s="415" t="s">
        <v>390</v>
      </c>
      <c r="B98" s="268" t="s">
        <v>300</v>
      </c>
      <c r="C98" s="418">
        <v>0.2</v>
      </c>
    </row>
    <row r="99" spans="1:3" ht="15" customHeight="1">
      <c r="A99" s="415" t="s">
        <v>391</v>
      </c>
      <c r="B99" s="268" t="s">
        <v>296</v>
      </c>
      <c r="C99" s="416">
        <v>1</v>
      </c>
    </row>
    <row r="100" spans="1:3" ht="15" customHeight="1">
      <c r="A100" s="415" t="s">
        <v>392</v>
      </c>
      <c r="B100" s="268" t="s">
        <v>296</v>
      </c>
      <c r="C100" s="420">
        <v>1</v>
      </c>
    </row>
    <row r="101" spans="1:3" ht="15" customHeight="1">
      <c r="A101" s="415" t="s">
        <v>393</v>
      </c>
      <c r="B101" s="268" t="s">
        <v>294</v>
      </c>
      <c r="C101" s="416">
        <v>0.6</v>
      </c>
    </row>
    <row r="102" spans="1:3" ht="15" customHeight="1">
      <c r="A102" s="415" t="s">
        <v>394</v>
      </c>
      <c r="B102" s="268" t="s">
        <v>296</v>
      </c>
      <c r="C102" s="419">
        <v>1</v>
      </c>
    </row>
    <row r="103" spans="1:3" ht="15" customHeight="1">
      <c r="A103" s="415" t="s">
        <v>395</v>
      </c>
      <c r="B103" s="268" t="s">
        <v>300</v>
      </c>
      <c r="C103" s="418">
        <v>0.2</v>
      </c>
    </row>
    <row r="104" spans="1:3" ht="15" customHeight="1">
      <c r="A104" s="415" t="s">
        <v>396</v>
      </c>
      <c r="B104" s="268" t="s">
        <v>294</v>
      </c>
      <c r="C104" s="416">
        <v>0.6</v>
      </c>
    </row>
    <row r="105" spans="1:3" ht="15" customHeight="1">
      <c r="A105" s="415" t="s">
        <v>397</v>
      </c>
      <c r="B105" s="268" t="s">
        <v>300</v>
      </c>
      <c r="C105" s="418">
        <v>0.2</v>
      </c>
    </row>
    <row r="106" spans="1:3" ht="15" customHeight="1">
      <c r="A106" s="415" t="s">
        <v>398</v>
      </c>
      <c r="B106" s="268" t="s">
        <v>294</v>
      </c>
      <c r="C106" s="416">
        <v>0.6</v>
      </c>
    </row>
    <row r="107" spans="1:3" ht="15" customHeight="1">
      <c r="A107" s="415" t="s">
        <v>399</v>
      </c>
      <c r="B107" s="268" t="s">
        <v>300</v>
      </c>
      <c r="C107" s="418">
        <v>0.2</v>
      </c>
    </row>
    <row r="108" spans="1:3" ht="15" customHeight="1">
      <c r="A108" s="415" t="s">
        <v>400</v>
      </c>
      <c r="B108" s="268" t="s">
        <v>300</v>
      </c>
      <c r="C108" s="418">
        <v>0.2</v>
      </c>
    </row>
    <row r="109" spans="1:3" ht="15" customHeight="1">
      <c r="A109" s="415" t="s">
        <v>401</v>
      </c>
      <c r="B109" s="268" t="s">
        <v>296</v>
      </c>
      <c r="C109" s="416">
        <v>1</v>
      </c>
    </row>
    <row r="110" spans="1:3" ht="15" customHeight="1">
      <c r="A110" s="415" t="s">
        <v>273</v>
      </c>
      <c r="B110" s="268" t="s">
        <v>296</v>
      </c>
      <c r="C110" s="416">
        <v>1</v>
      </c>
    </row>
    <row r="111" spans="1:3" ht="15" customHeight="1">
      <c r="A111" s="415" t="s">
        <v>402</v>
      </c>
      <c r="B111" s="268" t="s">
        <v>300</v>
      </c>
      <c r="C111" s="418">
        <v>0.2</v>
      </c>
    </row>
    <row r="112" spans="1:3" ht="15" customHeight="1">
      <c r="A112" s="415" t="s">
        <v>403</v>
      </c>
      <c r="B112" s="268" t="s">
        <v>300</v>
      </c>
      <c r="C112" s="418">
        <v>0.2</v>
      </c>
    </row>
    <row r="113" spans="1:3" ht="15" customHeight="1" thickBot="1">
      <c r="A113" s="421" t="s">
        <v>404</v>
      </c>
      <c r="B113" s="422" t="s">
        <v>296</v>
      </c>
      <c r="C113" s="423">
        <v>1</v>
      </c>
    </row>
  </sheetData>
  <sheetProtection password="CFBB" sheet="1"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30.7109375" style="205" customWidth="1"/>
    <col min="2" max="2" width="9.57421875" style="246" customWidth="1"/>
    <col min="3" max="3" width="30.00390625" style="205" customWidth="1"/>
    <col min="4" max="4" width="11.421875" style="246" customWidth="1"/>
    <col min="5" max="5" width="13.140625" style="205" customWidth="1"/>
    <col min="6" max="6" width="11.421875" style="205" hidden="1" customWidth="1"/>
    <col min="7" max="16384" width="11.421875" style="205" customWidth="1"/>
  </cols>
  <sheetData>
    <row r="1" spans="1:5" s="248" customFormat="1" ht="24.75" customHeight="1">
      <c r="A1" s="636" t="s">
        <v>129</v>
      </c>
      <c r="B1" s="636"/>
      <c r="C1" s="636"/>
      <c r="D1" s="636"/>
      <c r="E1" s="636"/>
    </row>
    <row r="2" spans="1:5" ht="7.5" customHeight="1" thickBot="1">
      <c r="A2" s="211"/>
      <c r="B2" s="211"/>
      <c r="C2" s="211"/>
      <c r="D2" s="211"/>
      <c r="E2" s="211"/>
    </row>
    <row r="3" spans="1:5" s="248" customFormat="1" ht="30" customHeight="1">
      <c r="A3" s="395" t="s">
        <v>151</v>
      </c>
      <c r="B3" s="396" t="s">
        <v>195</v>
      </c>
      <c r="C3" s="397" t="s">
        <v>152</v>
      </c>
      <c r="D3" s="396" t="s">
        <v>22</v>
      </c>
      <c r="E3" s="472" t="s">
        <v>196</v>
      </c>
    </row>
    <row r="4" spans="1:6" ht="38.25" customHeight="1">
      <c r="A4" s="398" t="s">
        <v>197</v>
      </c>
      <c r="B4" s="271" t="s">
        <v>9</v>
      </c>
      <c r="C4" s="245" t="s">
        <v>198</v>
      </c>
      <c r="D4" s="271">
        <v>10</v>
      </c>
      <c r="E4" s="478"/>
      <c r="F4" s="205">
        <v>0</v>
      </c>
    </row>
    <row r="5" spans="1:6" ht="30" customHeight="1">
      <c r="A5" s="398" t="s">
        <v>199</v>
      </c>
      <c r="B5" s="271" t="s">
        <v>9</v>
      </c>
      <c r="C5" s="245"/>
      <c r="D5" s="271">
        <v>10</v>
      </c>
      <c r="E5" s="478"/>
      <c r="F5" s="205">
        <v>10</v>
      </c>
    </row>
    <row r="6" spans="1:5" ht="51" customHeight="1">
      <c r="A6" s="398" t="s">
        <v>200</v>
      </c>
      <c r="B6" s="271" t="s">
        <v>9</v>
      </c>
      <c r="C6" s="245" t="s">
        <v>201</v>
      </c>
      <c r="D6" s="271">
        <v>10</v>
      </c>
      <c r="E6" s="478"/>
    </row>
    <row r="7" spans="1:5" ht="30" customHeight="1">
      <c r="A7" s="398" t="s">
        <v>202</v>
      </c>
      <c r="B7" s="271"/>
      <c r="C7" s="245" t="s">
        <v>203</v>
      </c>
      <c r="D7" s="271">
        <v>10</v>
      </c>
      <c r="E7" s="478"/>
    </row>
    <row r="8" spans="1:5" ht="30" customHeight="1">
      <c r="A8" s="398" t="s">
        <v>204</v>
      </c>
      <c r="B8" s="271"/>
      <c r="C8" s="245" t="s">
        <v>205</v>
      </c>
      <c r="D8" s="271">
        <v>10</v>
      </c>
      <c r="E8" s="478"/>
    </row>
    <row r="9" spans="1:5" s="311" customFormat="1" ht="30" customHeight="1">
      <c r="A9" s="399" t="s">
        <v>192</v>
      </c>
      <c r="B9" s="400"/>
      <c r="C9" s="401"/>
      <c r="D9" s="400"/>
      <c r="E9" s="402">
        <f>IF(SUM(E4:E8)&lt;40,SUM(E4:E8),40)</f>
        <v>0</v>
      </c>
    </row>
    <row r="10" spans="1:5" ht="13.5" thickBot="1">
      <c r="A10" s="617" t="s">
        <v>206</v>
      </c>
      <c r="B10" s="618"/>
      <c r="C10" s="618"/>
      <c r="D10" s="618"/>
      <c r="E10" s="403"/>
    </row>
  </sheetData>
  <sheetProtection password="CFBB" sheet="1"/>
  <mergeCells count="2">
    <mergeCell ref="A10:D10"/>
    <mergeCell ref="A1:E1"/>
  </mergeCells>
  <dataValidations count="3">
    <dataValidation type="list" operator="notBetween" allowBlank="1" showInputMessage="1" showErrorMessage="1" errorTitle="Falscher Wert!" error="Bitte geben Sie die Zahl 0 oder 10 ein." sqref="E4">
      <formula1>$F$4:$F$5</formula1>
    </dataValidation>
    <dataValidation type="list" allowBlank="1" showInputMessage="1" showErrorMessage="1" errorTitle="Falscher Wert!" error="Bitte geben Sie die Zahl 0 oder 10 ein." sqref="E8">
      <formula1>$F$4:$F$5</formula1>
    </dataValidation>
    <dataValidation type="list" allowBlank="1" showInputMessage="1" showErrorMessage="1" errorTitle="Falscher Wert!" error="Bitte geben Sie die Zahl 0 oder 10 ein." sqref="E5 E6 E7">
      <formula1>$F$4:$F$5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34.421875" style="273" customWidth="1"/>
    <col min="2" max="2" width="42.7109375" style="273" bestFit="1" customWidth="1"/>
    <col min="3" max="16384" width="11.421875" style="273" customWidth="1"/>
  </cols>
  <sheetData>
    <row r="1" spans="1:3" ht="24.75" customHeight="1">
      <c r="A1" s="619" t="s">
        <v>474</v>
      </c>
      <c r="B1" s="619"/>
      <c r="C1" s="619"/>
    </row>
    <row r="2" spans="1:3" ht="7.5" customHeight="1" thickBot="1">
      <c r="A2" s="213"/>
      <c r="B2" s="213"/>
      <c r="C2" s="213"/>
    </row>
    <row r="3" spans="1:3" ht="24.75" customHeight="1">
      <c r="A3" s="637" t="s">
        <v>421</v>
      </c>
      <c r="B3" s="638"/>
      <c r="C3" s="639"/>
    </row>
    <row r="4" spans="1:3" s="276" customFormat="1" ht="24.75" customHeight="1">
      <c r="A4" s="309" t="s">
        <v>422</v>
      </c>
      <c r="B4" s="506"/>
      <c r="C4" s="504" t="s">
        <v>423</v>
      </c>
    </row>
    <row r="5" spans="1:3" s="276" customFormat="1" ht="24.75" customHeight="1">
      <c r="A5" s="309" t="s">
        <v>424</v>
      </c>
      <c r="B5" s="506"/>
      <c r="C5" s="504" t="s">
        <v>425</v>
      </c>
    </row>
    <row r="6" spans="1:3" s="276" customFormat="1" ht="24.75" customHeight="1">
      <c r="A6" s="309" t="s">
        <v>159</v>
      </c>
      <c r="B6" s="506"/>
      <c r="C6" s="504" t="s">
        <v>425</v>
      </c>
    </row>
    <row r="7" spans="1:3" s="276" customFormat="1" ht="24.75" customHeight="1" thickBot="1">
      <c r="A7" s="310" t="s">
        <v>260</v>
      </c>
      <c r="B7" s="507"/>
      <c r="C7" s="505" t="s">
        <v>426</v>
      </c>
    </row>
    <row r="8" spans="1:3" ht="14.25">
      <c r="A8" s="278"/>
      <c r="B8" s="279"/>
      <c r="C8" s="280"/>
    </row>
    <row r="9" spans="1:3" ht="14.25">
      <c r="A9" s="278"/>
      <c r="B9" s="279"/>
      <c r="C9" s="280"/>
    </row>
    <row r="10" spans="1:3" ht="15" thickBot="1">
      <c r="A10" s="278"/>
      <c r="B10" s="279"/>
      <c r="C10" s="280"/>
    </row>
    <row r="11" spans="1:3" ht="24.75" customHeight="1">
      <c r="A11" s="640" t="s">
        <v>427</v>
      </c>
      <c r="B11" s="641"/>
      <c r="C11" s="642"/>
    </row>
    <row r="12" spans="1:3" s="276" customFormat="1" ht="24.75" customHeight="1">
      <c r="A12" s="309" t="s">
        <v>428</v>
      </c>
      <c r="B12" s="508">
        <f>IF(ISNUMBER(B4),1/B4,"")</f>
      </c>
      <c r="C12" s="504" t="s">
        <v>429</v>
      </c>
    </row>
    <row r="13" spans="1:3" s="276" customFormat="1" ht="24.75" customHeight="1" thickBot="1">
      <c r="A13" s="310" t="s">
        <v>430</v>
      </c>
      <c r="B13" s="509">
        <f>IF(ISNUMBER(B4),IF(B4&lt;=0.2,30,IF(AND(B4&lt;=0.8,B4&gt;0.2),25*(B4)+20,40)),"")</f>
      </c>
      <c r="C13" s="504" t="s">
        <v>425</v>
      </c>
    </row>
    <row r="14" spans="1:3" s="276" customFormat="1" ht="24.75" customHeight="1" thickBot="1">
      <c r="A14" s="285" t="s">
        <v>431</v>
      </c>
      <c r="B14" s="526">
        <f>IF(ISNUMBER(B5),IF(B5&lt;=25,235,IF(AND(B5&lt;=B13,B5&gt;25),105/(25-B13)*B5+235-25*(105/(25-B13)),"Mindestanforderung nicht erfüllt")),"")</f>
      </c>
      <c r="C14" s="275"/>
    </row>
    <row r="15" spans="1:3" s="276" customFormat="1" ht="24.75" customHeight="1" thickBot="1">
      <c r="A15" s="285" t="s">
        <v>432</v>
      </c>
      <c r="B15" s="526">
        <f>IF(ISNUMBER(B6),IF(B6&lt;=140,145,IF(AND(B6&lt;=200,B6&gt;140),ROUND(65/(140-200)*B6+145-140*(65/(140-200)),0),"Mindestanforderung nicht erfüllt")),"")</f>
      </c>
      <c r="C15" s="275"/>
    </row>
    <row r="16" spans="1:3" s="276" customFormat="1" ht="24.75" customHeight="1" thickBot="1">
      <c r="A16" s="285" t="s">
        <v>260</v>
      </c>
      <c r="B16" s="526">
        <f>IF(ISNUMBER(B7),IF(B7&lt;=38,145,IF(AND(B7&lt;=48,B7&gt;38),ROUND(65/(38-48)*B7+145-38*(65/(38-48)),0),"Mindestanforderung nicht erfüllt")),"")</f>
      </c>
      <c r="C16" s="277"/>
    </row>
  </sheetData>
  <sheetProtection password="CFBB" sheet="1"/>
  <mergeCells count="3">
    <mergeCell ref="A3:C3"/>
    <mergeCell ref="A11:C11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Rechenknecht</dc:creator>
  <cp:keywords/>
  <dc:description/>
  <cp:lastModifiedBy>Stefanie</cp:lastModifiedBy>
  <cp:lastPrinted>2011-02-11T12:18:10Z</cp:lastPrinted>
  <dcterms:created xsi:type="dcterms:W3CDTF">2005-07-27T13:49:14Z</dcterms:created>
  <dcterms:modified xsi:type="dcterms:W3CDTF">2011-02-11T12:18:13Z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